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28642F3-A834-4F46-88F6-61C962AC39E1}" xr6:coauthVersionLast="47" xr6:coauthVersionMax="47" xr10:uidLastSave="{00000000-0000-0000-0000-000000000000}"/>
  <bookViews>
    <workbookView xWindow="-120" yWindow="-120" windowWidth="19440" windowHeight="15000" tabRatio="875" firstSheet="12" activeTab="3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面积" sheetId="78" r:id="rId13"/>
    <sheet name="规划指标"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土地案例" sheetId="70" r:id="rId32"/>
    <sheet name="剩余法-待开发" sheetId="12" r:id="rId33"/>
    <sheet name="不动产比较法-办公" sheetId="34" r:id="rId34"/>
    <sheet name="不动产比较法-公寓" sheetId="75" r:id="rId35"/>
    <sheet name="不动产比较法-商业" sheetId="33" state="hidden" r:id="rId36"/>
    <sheet name="不动产收益法-商业" sheetId="76" r:id="rId37"/>
    <sheet name="不动产收益法-地下商业" sheetId="15" state="hidden" r:id="rId38"/>
    <sheet name="酒店收入计算" sheetId="57" state="hidden" r:id="rId39"/>
    <sheet name="成本逼近法" sheetId="11" state="hidden" r:id="rId40"/>
    <sheet name="不动产比较法-工业" sheetId="37" state="hidden" r:id="rId41"/>
    <sheet name="不动产比较法-车位" sheetId="35" state="hidden" r:id="rId42"/>
    <sheet name="不动产比较法-仓储" sheetId="36" state="hidden" r:id="rId43"/>
    <sheet name="不动产收益法-车库" sheetId="74" r:id="rId44"/>
    <sheet name="典型户型修正" sheetId="31" state="hidden" r:id="rId45"/>
    <sheet name="存贷款利率" sheetId="65" state="hidden" r:id="rId46"/>
    <sheet name="办公" sheetId="71" r:id="rId47"/>
    <sheet name="商业" sheetId="72" r:id="rId48"/>
    <sheet name="Sheet1" sheetId="68" r:id="rId49"/>
    <sheet name="Sheet6" sheetId="73" r:id="rId50"/>
    <sheet name="Sheet2" sheetId="77" r:id="rId51"/>
  </sheets>
  <externalReferences>
    <externalReference r:id="rId52"/>
    <externalReference r:id="rId53"/>
    <externalReference r:id="rId54"/>
  </externalReferences>
  <definedNames>
    <definedName name="_8_8" localSheetId="34">EVALUATE+#REF!</definedName>
    <definedName name="_8_8" localSheetId="43">EVALUATE+#REF!</definedName>
    <definedName name="_8_8" localSheetId="36">EVALUATE+#REF!</definedName>
    <definedName name="_8_8">EVALUATE+#REF!</definedName>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'不动产比较法-公寓'!$A$1:$L$50</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data" localSheetId="34">#REF!</definedName>
    <definedName name="data" localSheetId="43">#REF!</definedName>
    <definedName name="data" localSheetId="36">#REF!</definedName>
    <definedName name="data">#REF!</definedName>
    <definedName name="_xlnm.Print_Area" localSheetId="21">'比较法-工业'!$A$1:$K$63,'比较法-工业'!$A$66:$N$123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'不动产比较法-公寓'!$A$1:$K$55,'不动产比较法-公寓'!$A$58:$M$132</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43">'不动产收益法-车库'!$A$1:$F$43,'不动产收益法-车库'!$H$3:$M$29,'不动产收益法-车库'!$A$46:$F$70,'不动产收益法-车库'!$I$46:$M$60</definedName>
    <definedName name="_xlnm.Print_Area" localSheetId="37">'不动产收益法-地下商业'!$A$1:$F$43,'不动产收益法-地下商业'!$H$3:$M$29,'不动产收益法-地下商业'!$A$46:$F$70,'不动产收益法-地下商业'!$I$46:$M$60</definedName>
    <definedName name="_xlnm.Print_Area" localSheetId="36">'不动产收益法-商业'!$A$1:$F$43,'不动产收益法-商业'!$H$3:$M$29,'不动产收益法-商业'!$A$46:$F$70,'不动产收益法-商业'!$I$46:$M$60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13">规划指标!$A$1:$F$32</definedName>
    <definedName name="_xlnm.Print_Area" localSheetId="22">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32">'剩余法-待开发'!$A$1:$K$36</definedName>
    <definedName name="_xlnm.Print_Area" localSheetId="19">'剩余法-现房'!$A$1:$K$32</definedName>
    <definedName name="_xlnm.Print_Area" localSheetId="29">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阿瑟">'[1]5201.2004'!$A$1:$I$24</definedName>
    <definedName name="八级">区片价!$P$1:$P$40</definedName>
    <definedName name="办公层高" localSheetId="34">'不动产比较法-公寓'!$B$119:$M$119</definedName>
    <definedName name="办公层高">'不动产比较法-办公'!$B$119:$M$119</definedName>
    <definedName name="办公朝向" localSheetId="34">'不动产比较法-公寓'!$B$91:$M$91</definedName>
    <definedName name="办公朝向">'不动产比较法-办公'!$B$91:$M$91</definedName>
    <definedName name="办公道路级别" localSheetId="34">'不动产比较法-公寓'!$B$87:$M$87</definedName>
    <definedName name="办公道路级别">'不动产比较法-办公'!$B$87:$M$87</definedName>
    <definedName name="办公公共部分装修" localSheetId="34">'不动产比较法-公寓'!$B$108:$M$108</definedName>
    <definedName name="办公公共部分装修">'不动产比较法-办公'!$B$108:$M$108</definedName>
    <definedName name="办公基础设施水平" localSheetId="34">'不动产比较法-公寓'!$B$117:$M$117</definedName>
    <definedName name="办公基础设施水平">'不动产比较法-办公'!$B$117:$M$117</definedName>
    <definedName name="办公集聚程度">定义!$M$1:$M$6</definedName>
    <definedName name="办公建筑结构" localSheetId="34">'不动产比较法-公寓'!$B$106:$M$106</definedName>
    <definedName name="办公建筑结构">'不动产比较法-办公'!$B$106:$M$106</definedName>
    <definedName name="办公建筑类型" localSheetId="34">'不动产比较法-公寓'!$B$101:$M$101</definedName>
    <definedName name="办公建筑类型">'不动产比较法-办公'!$B$101:$M$101</definedName>
    <definedName name="办公交易情况" localSheetId="34">'不动产比较法-公寓'!$A$62:$M$62</definedName>
    <definedName name="办公交易情况">'不动产比较法-办公'!$A$62:$M$62</definedName>
    <definedName name="办公楼层" localSheetId="34">'不动产比较法-公寓'!$B$89:$M$89</definedName>
    <definedName name="办公楼层">'不动产比较法-办公'!$B$89:$M$89</definedName>
    <definedName name="办公内部装修" localSheetId="34">'不动产比较法-公寓'!$B$123:$M$123</definedName>
    <definedName name="办公内部装修">'不动产比较法-办公'!$B$123:$M$123</definedName>
    <definedName name="办公物业管理" localSheetId="34">'不动产比较法-公寓'!$B$115:$M$115</definedName>
    <definedName name="办公物业管理">'不动产比较法-办公'!$B$115:$M$115</definedName>
    <definedName name="办公用途" localSheetId="34">'不动产比较法-公寓'!$B$64:$M$64</definedName>
    <definedName name="办公用途">'不动产比较法-办公'!$B$64:$M$64</definedName>
    <definedName name="比例" localSheetId="34">#REF!</definedName>
    <definedName name="比例" localSheetId="43">#REF!</definedName>
    <definedName name="比例" localSheetId="36">#REF!</definedName>
    <definedName name="比例">#REF!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价分摊表1">[2]Sheet2!$A$1</definedName>
    <definedName name="地类判定">定义!$H$1:$H$9</definedName>
    <definedName name="二级">区片价!$J$1:$J$20</definedName>
    <definedName name="二级分类">修正!$C$17:$C$39</definedName>
    <definedName name="法定最高年限">定义!$G$2:$G$4</definedName>
    <definedName name="高层" localSheetId="34">EVALUATE+#REF!</definedName>
    <definedName name="高层" localSheetId="43">EVALUATE+#REF!</definedName>
    <definedName name="高层" localSheetId="36">EVALUATE+#REF!</definedName>
    <definedName name="高层">EVALUATE+#REF!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开间费" localSheetId="34">#REF!</definedName>
    <definedName name="开间费" localSheetId="43">#REF!</definedName>
    <definedName name="开间费" localSheetId="36">#REF!</definedName>
    <definedName name="开间费">#REF!</definedName>
    <definedName name="科目余额表" localSheetId="34">#REF!</definedName>
    <definedName name="科目余额表" localSheetId="43">#REF!</definedName>
    <definedName name="科目余额表" localSheetId="36">#REF!</definedName>
    <definedName name="科目余额表">#REF!</definedName>
    <definedName name="栏杆价格明细" localSheetId="34">EVALUATE+#REF!</definedName>
    <definedName name="栏杆价格明细" localSheetId="43">EVALUATE+#REF!</definedName>
    <definedName name="栏杆价格明细" localSheetId="36">EVALUATE+#REF!</definedName>
    <definedName name="栏杆价格明细">EVALUATE+#REF!</definedName>
    <definedName name="栏杆明细" localSheetId="34">EVALUATE+#REF!</definedName>
    <definedName name="栏杆明细" localSheetId="43">EVALUATE+#REF!</definedName>
    <definedName name="栏杆明细" localSheetId="36">EVALUATE+#REF!</definedName>
    <definedName name="栏杆明细">EVALUATE+#REF!</definedName>
    <definedName name="类别">定义!$J$1:$J$3</definedName>
    <definedName name="利息总额" localSheetId="34">#REF!</definedName>
    <definedName name="利息总额" localSheetId="43">#REF!</definedName>
    <definedName name="利息总额" localSheetId="36">#REF!</definedName>
    <definedName name="利息总额">#REF!</definedName>
    <definedName name="临街状况">定义!$T$1:$T$5</definedName>
    <definedName name="六级">区片价!$N$1:$N$49</definedName>
    <definedName name="面积" localSheetId="34">#REF!</definedName>
    <definedName name="面积" localSheetId="43">#REF!</definedName>
    <definedName name="面积" localSheetId="36">#REF!</definedName>
    <definedName name="面积">#REF!</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室内装修价格明细" localSheetId="34">EVALUATE+#REF!</definedName>
    <definedName name="室内装修价格明细" localSheetId="43">EVALUATE+#REF!</definedName>
    <definedName name="室内装修价格明细" localSheetId="36">EVALUATE+#REF!</definedName>
    <definedName name="室内装修价格明细">EVALUATE+#REF!</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我" localSheetId="34">EVALUATE+#REF!</definedName>
    <definedName name="我" localSheetId="43">EVALUATE+#REF!</definedName>
    <definedName name="我" localSheetId="36">EVALUATE+#REF!</definedName>
    <definedName name="我">EVALUATE+#REF!</definedName>
    <definedName name="我我" localSheetId="34">EVALUATE+#REF!</definedName>
    <definedName name="我我" localSheetId="43">EVALUATE+#REF!</definedName>
    <definedName name="我我" localSheetId="36">EVALUATE+#REF!</definedName>
    <definedName name="我我">EVALUATE+#REF!</definedName>
    <definedName name="五等判定">定义!$W$1:$W$6</definedName>
    <definedName name="五级">区片价!$M$1:$M$35</definedName>
    <definedName name="项目类型">'数据-汇总表'!$C$17:$C$26</definedName>
    <definedName name="写字楼等级" localSheetId="34">'不动产比较法-公寓'!$B$113:$M$113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9" i="12" l="1"/>
  <c r="L16" i="12"/>
  <c r="L19" i="34"/>
  <c r="L19" i="1" l="1"/>
  <c r="K22" i="1"/>
  <c r="H34" i="6"/>
  <c r="F34" i="6"/>
  <c r="X30" i="1"/>
  <c r="X29" i="1"/>
  <c r="X28" i="1"/>
  <c r="V23" i="1"/>
  <c r="I48" i="34"/>
  <c r="E48" i="34"/>
  <c r="I7" i="6"/>
  <c r="D22" i="78"/>
  <c r="D21" i="78" s="1"/>
  <c r="D25" i="78"/>
  <c r="D26" i="78"/>
  <c r="D20" i="78"/>
  <c r="D24" i="78"/>
  <c r="D17" i="78"/>
  <c r="C33" i="78" l="1"/>
  <c r="C34" i="78" s="1"/>
  <c r="X26" i="1" l="1"/>
  <c r="AT13" i="3"/>
  <c r="Q13" i="3"/>
  <c r="G22" i="6" s="1"/>
  <c r="M13" i="3"/>
  <c r="AL13" i="3"/>
  <c r="D23" i="78"/>
  <c r="O13" i="3" s="1"/>
  <c r="G21" i="6" s="1"/>
  <c r="K21" i="78"/>
  <c r="J21" i="78"/>
  <c r="I21" i="78"/>
  <c r="H21" i="78"/>
  <c r="K15" i="78"/>
  <c r="K23" i="78" s="1"/>
  <c r="I15" i="78"/>
  <c r="H15" i="78"/>
  <c r="J12" i="78"/>
  <c r="J15" i="78" s="1"/>
  <c r="I11" i="78"/>
  <c r="I23" i="78" s="1"/>
  <c r="K3" i="78" s="1"/>
  <c r="D11" i="78"/>
  <c r="J10" i="78"/>
  <c r="H10" i="78"/>
  <c r="H11" i="78" s="1"/>
  <c r="H23" i="78" s="1"/>
  <c r="L9" i="78"/>
  <c r="I13" i="3" s="1"/>
  <c r="K9" i="78"/>
  <c r="J9" i="78"/>
  <c r="K8" i="78"/>
  <c r="J8" i="78"/>
  <c r="J11" i="78" s="1"/>
  <c r="D6" i="78"/>
  <c r="D28" i="78" s="1"/>
  <c r="I5" i="78"/>
  <c r="E3" i="78"/>
  <c r="E59" i="39" l="1"/>
  <c r="V26" i="1"/>
  <c r="K13" i="3"/>
  <c r="BC13" i="3" s="1"/>
  <c r="BC5" i="3" s="1"/>
  <c r="J23" i="78"/>
  <c r="D29" i="78"/>
  <c r="C59" i="39"/>
  <c r="C60" i="39"/>
  <c r="C61" i="39"/>
  <c r="C62" i="39"/>
  <c r="C63" i="39"/>
  <c r="C64" i="39"/>
  <c r="C65" i="39"/>
  <c r="C66" i="39"/>
  <c r="C67" i="39"/>
  <c r="B15" i="3"/>
  <c r="V22" i="1"/>
  <c r="Y26" i="1" s="1"/>
  <c r="V21" i="1"/>
  <c r="V20" i="1"/>
  <c r="I109" i="9"/>
  <c r="Q73" i="76"/>
  <c r="Q60" i="76"/>
  <c r="D60" i="76"/>
  <c r="Q59" i="76"/>
  <c r="K59" i="76"/>
  <c r="P75" i="76"/>
  <c r="F58" i="76"/>
  <c r="Q52" i="76"/>
  <c r="J50" i="76"/>
  <c r="J51" i="76" s="1"/>
  <c r="M47" i="76"/>
  <c r="L46" i="76" s="1"/>
  <c r="F33" i="76"/>
  <c r="F60" i="76" s="1"/>
  <c r="F31" i="76"/>
  <c r="F23" i="76"/>
  <c r="D24" i="76"/>
  <c r="D23" i="76"/>
  <c r="D22" i="76"/>
  <c r="F21" i="76"/>
  <c r="F20" i="76"/>
  <c r="M19" i="76"/>
  <c r="F18" i="76"/>
  <c r="M17" i="76"/>
  <c r="F17" i="76"/>
  <c r="F15" i="76"/>
  <c r="G48" i="34"/>
  <c r="P62" i="76"/>
  <c r="D18" i="31"/>
  <c r="E48" i="75"/>
  <c r="E55" i="75" s="1"/>
  <c r="B131" i="75"/>
  <c r="B129" i="75"/>
  <c r="H46" i="75" s="1"/>
  <c r="AB46" i="75" s="1"/>
  <c r="B127" i="75"/>
  <c r="D126" i="75"/>
  <c r="D124" i="75"/>
  <c r="E124" i="75" s="1"/>
  <c r="F124" i="75" s="1"/>
  <c r="G124" i="75"/>
  <c r="H124" i="75" s="1"/>
  <c r="I124" i="75" s="1"/>
  <c r="J124" i="75" s="1"/>
  <c r="K124" i="75" s="1"/>
  <c r="L124" i="75" s="1"/>
  <c r="M124" i="75" s="1"/>
  <c r="D120" i="75"/>
  <c r="E120" i="75" s="1"/>
  <c r="F120" i="75" s="1"/>
  <c r="G120" i="75"/>
  <c r="H120" i="75" s="1"/>
  <c r="I120" i="75" s="1"/>
  <c r="J120" i="75" s="1"/>
  <c r="K120" i="75" s="1"/>
  <c r="L120" i="75" s="1"/>
  <c r="M120" i="75" s="1"/>
  <c r="D118" i="75"/>
  <c r="E118" i="75" s="1"/>
  <c r="F118" i="75" s="1"/>
  <c r="G118" i="75"/>
  <c r="D116" i="75"/>
  <c r="E116" i="75"/>
  <c r="F116" i="75" s="1"/>
  <c r="G116" i="75" s="1"/>
  <c r="H116" i="75" s="1"/>
  <c r="I116" i="75" s="1"/>
  <c r="J116" i="75" s="1"/>
  <c r="K116" i="75" s="1"/>
  <c r="L116" i="75" s="1"/>
  <c r="M116" i="75" s="1"/>
  <c r="D114" i="75"/>
  <c r="E114" i="75" s="1"/>
  <c r="F114" i="75" s="1"/>
  <c r="G114" i="75" s="1"/>
  <c r="H114" i="75" s="1"/>
  <c r="I114" i="75"/>
  <c r="J114" i="75" s="1"/>
  <c r="K114" i="75" s="1"/>
  <c r="L114" i="75" s="1"/>
  <c r="M114" i="75" s="1"/>
  <c r="D112" i="75"/>
  <c r="E112" i="75"/>
  <c r="F112" i="75" s="1"/>
  <c r="G112" i="75" s="1"/>
  <c r="G110" i="75"/>
  <c r="F110" i="75"/>
  <c r="E110" i="75"/>
  <c r="D110" i="75"/>
  <c r="C110" i="75"/>
  <c r="D109" i="75"/>
  <c r="E109" i="75" s="1"/>
  <c r="F109" i="75" s="1"/>
  <c r="G109" i="75" s="1"/>
  <c r="H109" i="75" s="1"/>
  <c r="I109" i="75" s="1"/>
  <c r="J109" i="75" s="1"/>
  <c r="K109" i="75" s="1"/>
  <c r="L109" i="75" s="1"/>
  <c r="M109" i="75" s="1"/>
  <c r="D107" i="75"/>
  <c r="E107" i="75" s="1"/>
  <c r="F107" i="75" s="1"/>
  <c r="G107" i="75" s="1"/>
  <c r="H107" i="75" s="1"/>
  <c r="I107" i="75" s="1"/>
  <c r="J107" i="75"/>
  <c r="K107" i="75" s="1"/>
  <c r="L107" i="75" s="1"/>
  <c r="M107" i="75" s="1"/>
  <c r="M103" i="75"/>
  <c r="L103" i="75"/>
  <c r="K103" i="75"/>
  <c r="J103" i="75"/>
  <c r="I103" i="75"/>
  <c r="H103" i="75"/>
  <c r="G103" i="75"/>
  <c r="F103" i="75"/>
  <c r="E103" i="75"/>
  <c r="D103" i="75"/>
  <c r="C103" i="75"/>
  <c r="D102" i="75"/>
  <c r="E102" i="75" s="1"/>
  <c r="F102" i="75" s="1"/>
  <c r="G102" i="75" s="1"/>
  <c r="H102" i="75" s="1"/>
  <c r="I102" i="75" s="1"/>
  <c r="J102" i="75" s="1"/>
  <c r="K102" i="75" s="1"/>
  <c r="L102" i="75" s="1"/>
  <c r="M102" i="75" s="1"/>
  <c r="B99" i="75"/>
  <c r="B97" i="75"/>
  <c r="B95" i="75"/>
  <c r="B93" i="75"/>
  <c r="D92" i="75"/>
  <c r="E92" i="75"/>
  <c r="F92" i="75" s="1"/>
  <c r="G92" i="75" s="1"/>
  <c r="H92" i="75" s="1"/>
  <c r="I92" i="75" s="1"/>
  <c r="J92" i="75" s="1"/>
  <c r="K92" i="75" s="1"/>
  <c r="L92" i="75" s="1"/>
  <c r="M92" i="75" s="1"/>
  <c r="B91" i="75"/>
  <c r="D90" i="75"/>
  <c r="E90" i="75" s="1"/>
  <c r="F90" i="75"/>
  <c r="G90" i="75" s="1"/>
  <c r="H90" i="75" s="1"/>
  <c r="I90" i="75" s="1"/>
  <c r="J90" i="75" s="1"/>
  <c r="K90" i="75" s="1"/>
  <c r="L90" i="75" s="1"/>
  <c r="M90" i="75" s="1"/>
  <c r="B89" i="75"/>
  <c r="D88" i="75"/>
  <c r="E88" i="75" s="1"/>
  <c r="F88" i="75" s="1"/>
  <c r="G88" i="75" s="1"/>
  <c r="H88" i="75" s="1"/>
  <c r="I88" i="75" s="1"/>
  <c r="J88" i="75" s="1"/>
  <c r="K88" i="75" s="1"/>
  <c r="L88" i="75" s="1"/>
  <c r="M88" i="75" s="1"/>
  <c r="D86" i="75"/>
  <c r="D84" i="75"/>
  <c r="E84" i="75" s="1"/>
  <c r="F84" i="75" s="1"/>
  <c r="G84" i="75" s="1"/>
  <c r="D82" i="75"/>
  <c r="E82" i="75"/>
  <c r="F82" i="75" s="1"/>
  <c r="G82" i="75" s="1"/>
  <c r="D80" i="75"/>
  <c r="D78" i="75"/>
  <c r="E78" i="75" s="1"/>
  <c r="F78" i="75" s="1"/>
  <c r="G78" i="75"/>
  <c r="B75" i="75"/>
  <c r="B73" i="75"/>
  <c r="B71" i="75"/>
  <c r="D70" i="75"/>
  <c r="E70" i="75" s="1"/>
  <c r="F70" i="75" s="1"/>
  <c r="G70" i="75" s="1"/>
  <c r="H70" i="75" s="1"/>
  <c r="I70" i="75" s="1"/>
  <c r="J70" i="75" s="1"/>
  <c r="K70" i="75" s="1"/>
  <c r="L70" i="75" s="1"/>
  <c r="M70" i="75" s="1"/>
  <c r="M68" i="75"/>
  <c r="L68" i="75"/>
  <c r="K68" i="75"/>
  <c r="J68" i="75"/>
  <c r="I68" i="75"/>
  <c r="H68" i="75"/>
  <c r="G68" i="75"/>
  <c r="F68" i="75"/>
  <c r="E68" i="75"/>
  <c r="D68" i="75"/>
  <c r="C68" i="75"/>
  <c r="F67" i="75"/>
  <c r="G67" i="75"/>
  <c r="H67" i="75" s="1"/>
  <c r="I67" i="75" s="1"/>
  <c r="C64" i="75"/>
  <c r="D60" i="75"/>
  <c r="E60" i="75" s="1"/>
  <c r="F60" i="75" s="1"/>
  <c r="G60" i="75" s="1"/>
  <c r="H60" i="75" s="1"/>
  <c r="I60" i="75" s="1"/>
  <c r="J60" i="75" s="1"/>
  <c r="K60" i="75" s="1"/>
  <c r="L60" i="75" s="1"/>
  <c r="M60" i="75" s="1"/>
  <c r="P50" i="75"/>
  <c r="P49" i="75"/>
  <c r="K49" i="75"/>
  <c r="T48" i="75"/>
  <c r="R48" i="75"/>
  <c r="P48" i="75"/>
  <c r="I48" i="75"/>
  <c r="F55" i="75"/>
  <c r="Q47" i="75"/>
  <c r="Z47" i="75" s="1"/>
  <c r="Q46" i="75"/>
  <c r="Z46" i="75" s="1"/>
  <c r="J46" i="75"/>
  <c r="F46" i="75"/>
  <c r="Q45" i="75"/>
  <c r="Z45" i="75" s="1"/>
  <c r="Q44" i="75"/>
  <c r="Z44" i="75" s="1"/>
  <c r="H44" i="75"/>
  <c r="Q43" i="75"/>
  <c r="Z43" i="75" s="1"/>
  <c r="J43" i="75"/>
  <c r="AC43" i="75" s="1"/>
  <c r="H43" i="75"/>
  <c r="F43" i="75"/>
  <c r="AA43" i="75" s="1"/>
  <c r="Q42" i="75"/>
  <c r="Z42" i="75" s="1"/>
  <c r="J42" i="75"/>
  <c r="AC42" i="75" s="1"/>
  <c r="H42" i="75"/>
  <c r="F42" i="75"/>
  <c r="AA42" i="75" s="1"/>
  <c r="Q41" i="75"/>
  <c r="Z41" i="75" s="1"/>
  <c r="J41" i="75"/>
  <c r="AC41" i="75" s="1"/>
  <c r="H41" i="75"/>
  <c r="F41" i="75"/>
  <c r="AA41" i="75" s="1"/>
  <c r="Q40" i="75"/>
  <c r="Z40" i="75" s="1"/>
  <c r="J40" i="75"/>
  <c r="AC40" i="75" s="1"/>
  <c r="H40" i="75"/>
  <c r="F40" i="75"/>
  <c r="AA40" i="75" s="1"/>
  <c r="Q39" i="75"/>
  <c r="Z39" i="75" s="1"/>
  <c r="J39" i="75"/>
  <c r="AC39" i="75" s="1"/>
  <c r="H39" i="75"/>
  <c r="F39" i="75"/>
  <c r="AA39" i="75" s="1"/>
  <c r="Q38" i="75"/>
  <c r="Z38" i="75" s="1"/>
  <c r="J38" i="75"/>
  <c r="AC38" i="75" s="1"/>
  <c r="H38" i="75"/>
  <c r="AB38" i="75" s="1"/>
  <c r="F38" i="75"/>
  <c r="AA38" i="75" s="1"/>
  <c r="Q37" i="75"/>
  <c r="Z37" i="75" s="1"/>
  <c r="Q36" i="75"/>
  <c r="Z36" i="75" s="1"/>
  <c r="J36" i="75"/>
  <c r="AC36" i="75" s="1"/>
  <c r="H36" i="75"/>
  <c r="AB36" i="75" s="1"/>
  <c r="F36" i="75"/>
  <c r="Q35" i="75"/>
  <c r="Z35" i="75" s="1"/>
  <c r="J35" i="75"/>
  <c r="AC35" i="75" s="1"/>
  <c r="H35" i="75"/>
  <c r="AB35" i="75" s="1"/>
  <c r="F35" i="75"/>
  <c r="Q34" i="75"/>
  <c r="Z34" i="75" s="1"/>
  <c r="Q33" i="75"/>
  <c r="Z33" i="75" s="1"/>
  <c r="J33" i="75"/>
  <c r="H33" i="75"/>
  <c r="AB33" i="75" s="1"/>
  <c r="F33" i="75"/>
  <c r="AA33" i="75" s="1"/>
  <c r="Q32" i="75"/>
  <c r="Z32" i="75" s="1"/>
  <c r="J32" i="75"/>
  <c r="H32" i="75"/>
  <c r="U32" i="75" s="1"/>
  <c r="F32" i="75"/>
  <c r="AA32" i="75" s="1"/>
  <c r="Q31" i="75"/>
  <c r="Z31" i="75" s="1"/>
  <c r="H31" i="75"/>
  <c r="Q30" i="75"/>
  <c r="Z30" i="75" s="1"/>
  <c r="J30" i="75"/>
  <c r="AC30" i="75" s="1"/>
  <c r="H30" i="75"/>
  <c r="AB30" i="75" s="1"/>
  <c r="F30" i="75"/>
  <c r="AA30" i="75" s="1"/>
  <c r="Q29" i="75"/>
  <c r="Z29" i="75"/>
  <c r="Q28" i="75"/>
  <c r="Z28" i="75" s="1"/>
  <c r="H28" i="75"/>
  <c r="U28" i="75" s="1"/>
  <c r="Q27" i="75"/>
  <c r="Z27" i="75"/>
  <c r="Q25" i="75"/>
  <c r="Z25" i="75" s="1"/>
  <c r="J25" i="75"/>
  <c r="W25" i="75" s="1"/>
  <c r="H25" i="75"/>
  <c r="F25" i="75"/>
  <c r="Q23" i="75"/>
  <c r="Z23" i="75" s="1"/>
  <c r="J23" i="75"/>
  <c r="C23" i="75"/>
  <c r="Q21" i="75"/>
  <c r="Z21" i="75" s="1"/>
  <c r="J21" i="75"/>
  <c r="AC21" i="75" s="1"/>
  <c r="H21" i="75"/>
  <c r="AB21" i="75" s="1"/>
  <c r="F21" i="75"/>
  <c r="C21" i="75"/>
  <c r="Q19" i="75"/>
  <c r="Z19" i="75" s="1"/>
  <c r="J19" i="75"/>
  <c r="AC19" i="75" s="1"/>
  <c r="H19" i="75"/>
  <c r="AB19" i="75" s="1"/>
  <c r="F19" i="75"/>
  <c r="C19" i="75"/>
  <c r="Q17" i="75"/>
  <c r="Z17" i="75" s="1"/>
  <c r="J17" i="75"/>
  <c r="C17" i="75"/>
  <c r="Q15" i="75"/>
  <c r="Z15" i="75" s="1"/>
  <c r="J15" i="75"/>
  <c r="AC15" i="75" s="1"/>
  <c r="H15" i="75"/>
  <c r="F15" i="75"/>
  <c r="C15" i="75"/>
  <c r="Q14" i="75"/>
  <c r="Z14" i="75"/>
  <c r="J14" i="75"/>
  <c r="AC14" i="75"/>
  <c r="H14" i="75"/>
  <c r="AB14" i="75"/>
  <c r="F14" i="75"/>
  <c r="AA14" i="75"/>
  <c r="Q13" i="75"/>
  <c r="Z13" i="75"/>
  <c r="Q12" i="75"/>
  <c r="Z12" i="75"/>
  <c r="J12" i="75"/>
  <c r="AC12" i="75"/>
  <c r="H12" i="75"/>
  <c r="AB12" i="75"/>
  <c r="F12" i="75"/>
  <c r="AA12" i="75"/>
  <c r="Q11" i="75"/>
  <c r="Z11" i="75"/>
  <c r="Q10" i="75"/>
  <c r="Z10" i="75"/>
  <c r="J10" i="75"/>
  <c r="AC10" i="75"/>
  <c r="H10" i="75"/>
  <c r="AB10" i="75"/>
  <c r="F10" i="75"/>
  <c r="S10" i="75"/>
  <c r="Q9" i="75"/>
  <c r="Z9" i="75"/>
  <c r="J9" i="75"/>
  <c r="AC9" i="75"/>
  <c r="H9" i="75"/>
  <c r="AB9" i="75"/>
  <c r="F9" i="75"/>
  <c r="AA9" i="75"/>
  <c r="J8" i="75"/>
  <c r="H8" i="75"/>
  <c r="F8" i="75"/>
  <c r="S8" i="75" s="1"/>
  <c r="AA10" i="75"/>
  <c r="U12" i="75"/>
  <c r="U14" i="75"/>
  <c r="U21" i="75"/>
  <c r="AA8" i="75"/>
  <c r="U9" i="75"/>
  <c r="W10" i="75"/>
  <c r="U19" i="75"/>
  <c r="S9" i="75"/>
  <c r="W9" i="75"/>
  <c r="U10" i="75"/>
  <c r="S12" i="75"/>
  <c r="W12" i="75"/>
  <c r="S14" i="75"/>
  <c r="W14" i="75"/>
  <c r="W15" i="75"/>
  <c r="W19" i="75"/>
  <c r="W21" i="75"/>
  <c r="U30" i="75"/>
  <c r="S33" i="75"/>
  <c r="U35" i="75"/>
  <c r="W36" i="75"/>
  <c r="S38" i="75"/>
  <c r="W38" i="75"/>
  <c r="S40" i="75"/>
  <c r="W40" i="75"/>
  <c r="S42" i="75"/>
  <c r="W42" i="75"/>
  <c r="S30" i="75"/>
  <c r="W30" i="75"/>
  <c r="S32" i="75"/>
  <c r="U33" i="75"/>
  <c r="W35" i="75"/>
  <c r="U36" i="75"/>
  <c r="U38" i="75"/>
  <c r="S39" i="75"/>
  <c r="W39" i="75"/>
  <c r="S41" i="75"/>
  <c r="W41" i="75"/>
  <c r="S43" i="75"/>
  <c r="W43" i="75"/>
  <c r="U46" i="75"/>
  <c r="C34" i="34"/>
  <c r="J34" i="34" s="1"/>
  <c r="Q73" i="74"/>
  <c r="Q60" i="74"/>
  <c r="D60" i="74"/>
  <c r="Q59" i="74"/>
  <c r="K59" i="74"/>
  <c r="F58" i="74"/>
  <c r="Q52" i="74"/>
  <c r="J50" i="74"/>
  <c r="J51" i="74" s="1"/>
  <c r="M47" i="74"/>
  <c r="L46" i="74" s="1"/>
  <c r="F33" i="74"/>
  <c r="F60" i="74" s="1"/>
  <c r="F31" i="74"/>
  <c r="F23" i="74"/>
  <c r="D24" i="74"/>
  <c r="F21" i="74"/>
  <c r="F20" i="74"/>
  <c r="M19" i="74"/>
  <c r="F18" i="74"/>
  <c r="M17" i="74"/>
  <c r="F17" i="74"/>
  <c r="F15" i="74"/>
  <c r="E18" i="31"/>
  <c r="F18" i="31"/>
  <c r="C18" i="31"/>
  <c r="D17" i="31"/>
  <c r="E17" i="31"/>
  <c r="F17" i="31"/>
  <c r="C17" i="31"/>
  <c r="Q29" i="31" s="1"/>
  <c r="B26" i="31"/>
  <c r="B25" i="31"/>
  <c r="B24" i="31"/>
  <c r="C33" i="33"/>
  <c r="D59" i="33"/>
  <c r="E59" i="33" s="1"/>
  <c r="F59" i="33" s="1"/>
  <c r="G59" i="33" s="1"/>
  <c r="H59" i="33" s="1"/>
  <c r="I59" i="33" s="1"/>
  <c r="J59" i="33" s="1"/>
  <c r="K59" i="33" s="1"/>
  <c r="L59" i="33" s="1"/>
  <c r="M59" i="33" s="1"/>
  <c r="F21" i="6"/>
  <c r="F19" i="6"/>
  <c r="I9" i="39"/>
  <c r="I40" i="39"/>
  <c r="I8" i="39"/>
  <c r="I7" i="39"/>
  <c r="G40" i="39"/>
  <c r="G9" i="39"/>
  <c r="G8" i="39"/>
  <c r="G7" i="39"/>
  <c r="C40" i="39"/>
  <c r="T4" i="70"/>
  <c r="E40" i="39"/>
  <c r="E9" i="39"/>
  <c r="E8" i="39"/>
  <c r="E7" i="39"/>
  <c r="D22" i="74"/>
  <c r="D23" i="74"/>
  <c r="D60" i="34"/>
  <c r="E60" i="34" s="1"/>
  <c r="F60" i="34" s="1"/>
  <c r="G60" i="34" s="1"/>
  <c r="H60" i="34" s="1"/>
  <c r="I60" i="34" s="1"/>
  <c r="J60" i="34" s="1"/>
  <c r="K60" i="34" s="1"/>
  <c r="L60" i="34" s="1"/>
  <c r="M60" i="34" s="1"/>
  <c r="D73" i="39"/>
  <c r="E73" i="39" s="1"/>
  <c r="F73" i="39" s="1"/>
  <c r="G73" i="39" s="1"/>
  <c r="H73" i="39" s="1"/>
  <c r="I73" i="39" s="1"/>
  <c r="J73" i="39" s="1"/>
  <c r="K73" i="39" s="1"/>
  <c r="L73" i="39" s="1"/>
  <c r="M73" i="39" s="1"/>
  <c r="N73" i="39" s="1"/>
  <c r="F30" i="69"/>
  <c r="E30" i="69"/>
  <c r="D30" i="69"/>
  <c r="C30" i="69"/>
  <c r="F24" i="69"/>
  <c r="F32" i="69"/>
  <c r="D24" i="69"/>
  <c r="C24" i="69"/>
  <c r="E21" i="69"/>
  <c r="E24" i="69" s="1"/>
  <c r="D20" i="69"/>
  <c r="E19" i="69"/>
  <c r="C19" i="69"/>
  <c r="C20" i="69" s="1"/>
  <c r="L22" i="69" s="1"/>
  <c r="F18" i="69"/>
  <c r="E18" i="69"/>
  <c r="K18" i="69" s="1"/>
  <c r="F17" i="69"/>
  <c r="E17" i="69"/>
  <c r="E16" i="69"/>
  <c r="D16" i="69"/>
  <c r="D32" i="69"/>
  <c r="F3" i="69" s="1"/>
  <c r="C16" i="69"/>
  <c r="D5" i="69"/>
  <c r="AH5" i="59"/>
  <c r="AG5" i="59"/>
  <c r="AE5" i="59"/>
  <c r="AF5" i="59" s="1"/>
  <c r="AD5" i="59"/>
  <c r="Q5" i="59"/>
  <c r="P5" i="59"/>
  <c r="O5" i="59"/>
  <c r="N5" i="59"/>
  <c r="AH6" i="59"/>
  <c r="AG6" i="59"/>
  <c r="AE6" i="59"/>
  <c r="AF6" i="59" s="1"/>
  <c r="AD6" i="59"/>
  <c r="Q6" i="59"/>
  <c r="P6" i="59"/>
  <c r="O6" i="59"/>
  <c r="N6" i="59"/>
  <c r="C16" i="11"/>
  <c r="C15" i="11"/>
  <c r="C14" i="11"/>
  <c r="C9" i="11"/>
  <c r="C8" i="11"/>
  <c r="C7" i="11" s="1"/>
  <c r="K36" i="36"/>
  <c r="K38" i="35"/>
  <c r="K42" i="37"/>
  <c r="K49" i="34"/>
  <c r="K48" i="33"/>
  <c r="K48" i="21"/>
  <c r="K44" i="40"/>
  <c r="K49" i="39"/>
  <c r="E77" i="9"/>
  <c r="F77" i="9"/>
  <c r="AH7" i="59"/>
  <c r="AG7" i="59"/>
  <c r="AE7" i="59"/>
  <c r="AF7" i="59" s="1"/>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s="1"/>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s="1"/>
  <c r="AG17" i="59"/>
  <c r="AH17" i="59"/>
  <c r="AD17" i="59"/>
  <c r="Q17" i="59"/>
  <c r="P17" i="59"/>
  <c r="O17" i="59"/>
  <c r="N17" i="59"/>
  <c r="B17" i="59" s="1"/>
  <c r="N18" i="59"/>
  <c r="Q18" i="59"/>
  <c r="P18" i="59"/>
  <c r="O18" i="59"/>
  <c r="K59" i="15"/>
  <c r="P62" i="15"/>
  <c r="Q74" i="44"/>
  <c r="Q61" i="44"/>
  <c r="Q60" i="44"/>
  <c r="Q53" i="44"/>
  <c r="J51" i="44"/>
  <c r="J52" i="44"/>
  <c r="M48" i="44"/>
  <c r="A16" i="55"/>
  <c r="B67" i="63" s="1"/>
  <c r="A15" i="55"/>
  <c r="B66" i="63"/>
  <c r="A10" i="55"/>
  <c r="B61" i="63"/>
  <c r="A9" i="55"/>
  <c r="B60" i="63"/>
  <c r="A8" i="55"/>
  <c r="A6" i="54"/>
  <c r="B49" i="63" s="1"/>
  <c r="A8" i="54"/>
  <c r="A7" i="54"/>
  <c r="A27" i="51"/>
  <c r="B20" i="63"/>
  <c r="Q19" i="59"/>
  <c r="O19" i="59"/>
  <c r="N20" i="59"/>
  <c r="O20" i="59"/>
  <c r="P20" i="59"/>
  <c r="Q20" i="59"/>
  <c r="N19" i="59"/>
  <c r="P19" i="59"/>
  <c r="K75" i="9"/>
  <c r="K6" i="4"/>
  <c r="O76" i="9" s="1"/>
  <c r="E15" i="66"/>
  <c r="F15" i="66"/>
  <c r="E16" i="66"/>
  <c r="F16" i="66"/>
  <c r="E17" i="66"/>
  <c r="F17" i="66"/>
  <c r="E18" i="66"/>
  <c r="F18" i="66"/>
  <c r="E19" i="66"/>
  <c r="F19" i="66"/>
  <c r="E20" i="66"/>
  <c r="F20" i="66"/>
  <c r="E21" i="66"/>
  <c r="F21" i="66"/>
  <c r="E22" i="66"/>
  <c r="F22" i="66"/>
  <c r="E23" i="66"/>
  <c r="F23" i="66"/>
  <c r="B3" i="66"/>
  <c r="E17" i="59"/>
  <c r="E16" i="59" s="1"/>
  <c r="E15" i="59" s="1"/>
  <c r="F17" i="59"/>
  <c r="V17" i="59" s="1"/>
  <c r="U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3" i="65"/>
  <c r="C1" i="65"/>
  <c r="N1" i="65" s="1"/>
  <c r="B76" i="63"/>
  <c r="M5" i="54"/>
  <c r="B41" i="63" s="1"/>
  <c r="A23" i="51"/>
  <c r="B17" i="63" s="1"/>
  <c r="Y12" i="46"/>
  <c r="AA9" i="46"/>
  <c r="AB9" i="46"/>
  <c r="AB10" i="46"/>
  <c r="AC9" i="46"/>
  <c r="AD9" i="46"/>
  <c r="AD10" i="46" s="1"/>
  <c r="AE9" i="46"/>
  <c r="AE10" i="46" s="1"/>
  <c r="AF9" i="46"/>
  <c r="AF10" i="46" s="1"/>
  <c r="AG9" i="46"/>
  <c r="AG10" i="46" s="1"/>
  <c r="AH9" i="46"/>
  <c r="AH10" i="46" s="1"/>
  <c r="AI9" i="46"/>
  <c r="AJ9" i="46"/>
  <c r="AJ10" i="46"/>
  <c r="Z9" i="46"/>
  <c r="Z10" i="46"/>
  <c r="AC10" i="46"/>
  <c r="Y10" i="46"/>
  <c r="Z12" i="46"/>
  <c r="AG12" i="46"/>
  <c r="AE12" i="46"/>
  <c r="AC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K40" i="9"/>
  <c r="B58" i="63"/>
  <c r="B53" i="63"/>
  <c r="B51"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21" i="63"/>
  <c r="I19" i="46"/>
  <c r="Q21" i="59"/>
  <c r="P21" i="59"/>
  <c r="O21" i="59"/>
  <c r="N21" i="59"/>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AB32" i="59" s="1"/>
  <c r="P32" i="59"/>
  <c r="O32" i="59"/>
  <c r="Y32" i="59"/>
  <c r="Z32" i="59" s="1"/>
  <c r="N32" i="59"/>
  <c r="X32" i="59" s="1"/>
  <c r="Q31" i="59"/>
  <c r="AB31" i="59" s="1"/>
  <c r="P31" i="59"/>
  <c r="O31" i="59"/>
  <c r="Y31" i="59" s="1"/>
  <c r="Z31" i="59" s="1"/>
  <c r="N31" i="59"/>
  <c r="Q30" i="59"/>
  <c r="AB30" i="59" s="1"/>
  <c r="P30" i="59"/>
  <c r="O30" i="59"/>
  <c r="N30" i="59"/>
  <c r="B31" i="59" s="1"/>
  <c r="B32" i="59" s="1"/>
  <c r="B33" i="59" s="1"/>
  <c r="S33" i="59" s="1"/>
  <c r="D30" i="59"/>
  <c r="Q29" i="59"/>
  <c r="P29" i="59"/>
  <c r="AA29" i="59" s="1"/>
  <c r="O29" i="59"/>
  <c r="N29" i="59"/>
  <c r="Q28" i="59"/>
  <c r="P28" i="59"/>
  <c r="AA28" i="59" s="1"/>
  <c r="O28" i="59"/>
  <c r="N28" i="59"/>
  <c r="Q27" i="59"/>
  <c r="P27" i="59"/>
  <c r="AA27" i="59" s="1"/>
  <c r="O27" i="59"/>
  <c r="N27" i="59"/>
  <c r="Q26" i="59"/>
  <c r="F27" i="59"/>
  <c r="F28" i="59" s="1"/>
  <c r="F29" i="59" s="1"/>
  <c r="V29" i="59" s="1"/>
  <c r="P26" i="59"/>
  <c r="E27" i="59"/>
  <c r="E28" i="59" s="1"/>
  <c r="E29" i="59" s="1"/>
  <c r="U29" i="59" s="1"/>
  <c r="O26" i="59"/>
  <c r="N26" i="59"/>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O22" i="59"/>
  <c r="N22" i="59"/>
  <c r="B23" i="59" s="1"/>
  <c r="B24" i="59" s="1"/>
  <c r="B25" i="59" s="1"/>
  <c r="S25" i="59" s="1"/>
  <c r="D22" i="59"/>
  <c r="X19" i="59"/>
  <c r="Y18" i="59"/>
  <c r="Z18" i="59" s="1"/>
  <c r="Y20" i="59"/>
  <c r="Z20" i="59" s="1"/>
  <c r="AB21" i="59"/>
  <c r="AB20" i="59"/>
  <c r="E23" i="59"/>
  <c r="E24" i="59" s="1"/>
  <c r="E25" i="59" s="1"/>
  <c r="U25" i="59" s="1"/>
  <c r="AA32" i="59"/>
  <c r="F36" i="59"/>
  <c r="F37" i="59" s="1"/>
  <c r="V37" i="59" s="1"/>
  <c r="F56" i="59"/>
  <c r="F57" i="59" s="1"/>
  <c r="V57" i="59" s="1"/>
  <c r="C52" i="59"/>
  <c r="B59" i="59"/>
  <c r="N59" i="59" s="1"/>
  <c r="T61" i="59"/>
  <c r="O61" i="59"/>
  <c r="D61" i="59"/>
  <c r="C60" i="59"/>
  <c r="P61" i="59"/>
  <c r="U61" i="59"/>
  <c r="Q61" i="59"/>
  <c r="E64" i="59"/>
  <c r="E63" i="59" s="1"/>
  <c r="C68" i="59"/>
  <c r="C67" i="59" s="1"/>
  <c r="D67" i="59" s="1"/>
  <c r="E68" i="59"/>
  <c r="E67" i="59" s="1"/>
  <c r="D69" i="59"/>
  <c r="E72" i="59"/>
  <c r="E71" i="59" s="1"/>
  <c r="C76" i="59"/>
  <c r="D76" i="59" s="1"/>
  <c r="C80" i="59"/>
  <c r="U16" i="4"/>
  <c r="S16" i="4"/>
  <c r="Q16" i="4"/>
  <c r="O16" i="4"/>
  <c r="N16" i="4"/>
  <c r="M16" i="4"/>
  <c r="L16" i="4"/>
  <c r="K16" i="4"/>
  <c r="D80" i="59"/>
  <c r="C79" i="59"/>
  <c r="D79" i="59"/>
  <c r="C59" i="59"/>
  <c r="O60" i="59"/>
  <c r="D60" i="59"/>
  <c r="C75" i="59"/>
  <c r="D75" i="59" s="1"/>
  <c r="D68" i="59"/>
  <c r="N58" i="59"/>
  <c r="D59" i="59"/>
  <c r="O27" i="6"/>
  <c r="N27" i="6"/>
  <c r="P26" i="6"/>
  <c r="L26" i="6"/>
  <c r="P25" i="6"/>
  <c r="L25" i="6"/>
  <c r="P24" i="6"/>
  <c r="L24" i="6"/>
  <c r="P23" i="6"/>
  <c r="L23" i="6"/>
  <c r="P22" i="6"/>
  <c r="L22" i="6"/>
  <c r="P21" i="6"/>
  <c r="L21" i="6"/>
  <c r="P20" i="6"/>
  <c r="P19" i="6"/>
  <c r="Z18" i="36"/>
  <c r="Q18" i="36"/>
  <c r="C18" i="36"/>
  <c r="D66" i="36"/>
  <c r="F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Z21" i="33"/>
  <c r="Q21" i="33"/>
  <c r="C21" i="33"/>
  <c r="D83" i="33"/>
  <c r="E83" i="33"/>
  <c r="F83" i="33" s="1"/>
  <c r="G83" i="33" s="1"/>
  <c r="Q21" i="21"/>
  <c r="Z21" i="21" s="1"/>
  <c r="D83" i="21"/>
  <c r="E83" i="21" s="1"/>
  <c r="F21" i="21"/>
  <c r="C21" i="21"/>
  <c r="Q27" i="40"/>
  <c r="Z27" i="40" s="1"/>
  <c r="D96" i="40"/>
  <c r="E96" i="40" s="1"/>
  <c r="F96" i="40" s="1"/>
  <c r="F27" i="40"/>
  <c r="Q31" i="39"/>
  <c r="Z31" i="39" s="1"/>
  <c r="D105" i="39"/>
  <c r="E105" i="39" s="1"/>
  <c r="F105" i="39" s="1"/>
  <c r="G105" i="39" s="1"/>
  <c r="F31" i="39"/>
  <c r="AA31" i="39" s="1"/>
  <c r="G20" i="20"/>
  <c r="B85" i="46" s="1"/>
  <c r="C22" i="20"/>
  <c r="S21" i="37"/>
  <c r="B74" i="46"/>
  <c r="E66" i="36"/>
  <c r="H18" i="35"/>
  <c r="J18" i="35"/>
  <c r="H21" i="37"/>
  <c r="J21" i="37"/>
  <c r="E84" i="34"/>
  <c r="F84" i="34" s="1"/>
  <c r="G84" i="34" s="1"/>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H59" i="39"/>
  <c r="I59" i="39" s="1"/>
  <c r="H67" i="39"/>
  <c r="I67" i="39" s="1"/>
  <c r="H66" i="39"/>
  <c r="I66" i="39" s="1"/>
  <c r="H65" i="39"/>
  <c r="I65" i="39" s="1"/>
  <c r="H64" i="39"/>
  <c r="I64" i="39" s="1"/>
  <c r="H62" i="39"/>
  <c r="I62" i="39" s="1"/>
  <c r="H61" i="39"/>
  <c r="I61" i="39" s="1"/>
  <c r="H60" i="39"/>
  <c r="I60" i="39" s="1"/>
  <c r="L25" i="4"/>
  <c r="C145" i="21"/>
  <c r="J142" i="21"/>
  <c r="J140" i="21"/>
  <c r="K139" i="21"/>
  <c r="M87" i="21"/>
  <c r="L87" i="21"/>
  <c r="K87" i="21"/>
  <c r="J87" i="21"/>
  <c r="I87" i="21"/>
  <c r="H87" i="21"/>
  <c r="G87" i="21"/>
  <c r="F87" i="21"/>
  <c r="E87" i="21"/>
  <c r="D87" i="21"/>
  <c r="G2" i="46"/>
  <c r="H17" i="46"/>
  <c r="G19" i="46"/>
  <c r="R27" i="31"/>
  <c r="S27" i="31" s="1"/>
  <c r="R28" i="31"/>
  <c r="S28" i="31" s="1"/>
  <c r="R29" i="31"/>
  <c r="R30" i="31"/>
  <c r="S30" i="31" s="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0" i="1"/>
  <c r="F19" i="4"/>
  <c r="E19" i="4"/>
  <c r="B2" i="52"/>
  <c r="E12" i="52" s="1"/>
  <c r="I2" i="46"/>
  <c r="N12" i="46" s="1"/>
  <c r="A7" i="46"/>
  <c r="F41" i="4"/>
  <c r="J52" i="40"/>
  <c r="H61" i="49"/>
  <c r="H39" i="46"/>
  <c r="H38" i="46"/>
  <c r="H37" i="46"/>
  <c r="H36" i="46"/>
  <c r="H35" i="46"/>
  <c r="H34" i="46"/>
  <c r="H33" i="46"/>
  <c r="J20" i="46"/>
  <c r="C18" i="46"/>
  <c r="F15" i="46"/>
  <c r="E15" i="46"/>
  <c r="D15" i="46"/>
  <c r="C15" i="46"/>
  <c r="C10" i="46"/>
  <c r="C11" i="46"/>
  <c r="C9" i="46"/>
  <c r="E19" i="6"/>
  <c r="D3" i="34" s="1"/>
  <c r="E32" i="6"/>
  <c r="E21" i="6"/>
  <c r="K8" i="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368" i="31"/>
  <c r="Q370" i="31"/>
  <c r="Q372" i="31"/>
  <c r="Q374" i="31"/>
  <c r="Q376" i="31"/>
  <c r="Q378" i="31"/>
  <c r="Q380" i="31"/>
  <c r="Q382" i="31"/>
  <c r="Q384" i="31"/>
  <c r="Q386" i="31"/>
  <c r="Q388" i="31"/>
  <c r="Q390"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09" i="31"/>
  <c r="S393" i="31"/>
  <c r="S377" i="31"/>
  <c r="S361" i="31"/>
  <c r="S345" i="31"/>
  <c r="S329" i="31"/>
  <c r="S315" i="31"/>
  <c r="S299" i="31"/>
  <c r="S283" i="31"/>
  <c r="S267" i="31"/>
  <c r="S251" i="31"/>
  <c r="S235" i="31"/>
  <c r="S427" i="31"/>
  <c r="S201" i="31"/>
  <c r="S181" i="31"/>
  <c r="S161" i="31"/>
  <c r="S137" i="31"/>
  <c r="S495" i="31"/>
  <c r="S473" i="31"/>
  <c r="S117" i="31"/>
  <c r="S455" i="31"/>
  <c r="S43" i="31"/>
  <c r="S35" i="31"/>
  <c r="S71" i="31"/>
  <c r="S63" i="31"/>
  <c r="S97" i="31"/>
  <c r="S87" i="31"/>
  <c r="S29" i="31"/>
  <c r="S105" i="31"/>
  <c r="S449" i="31"/>
  <c r="B52" i="1"/>
  <c r="F36" i="44" s="1"/>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L482" i="3" s="1"/>
  <c r="BO482" i="3"/>
  <c r="BP482" i="3"/>
  <c r="BR482" i="3"/>
  <c r="BS482" i="3"/>
  <c r="BS5" i="3" s="1"/>
  <c r="F28" i="6" s="1"/>
  <c r="BT482" i="3"/>
  <c r="H483" i="3"/>
  <c r="G483" i="3" s="1"/>
  <c r="AC483" i="3"/>
  <c r="BB483" i="3"/>
  <c r="BB5" i="3" s="1"/>
  <c r="BC483" i="3"/>
  <c r="BD483" i="3"/>
  <c r="BE483" i="3"/>
  <c r="BF483" i="3"/>
  <c r="BG483" i="3"/>
  <c r="BH483" i="3"/>
  <c r="BH5" i="3" s="1"/>
  <c r="BI483" i="3"/>
  <c r="BJ483" i="3"/>
  <c r="BJ5" i="3" s="1"/>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L484" i="3" s="1"/>
  <c r="AZ484" i="3" s="1"/>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AZ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AZ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A515" i="3" s="1"/>
  <c r="AZ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L516" i="3" s="1"/>
  <c r="AZ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AC539" i="3"/>
  <c r="BB539" i="3"/>
  <c r="BA539" i="3" s="1"/>
  <c r="AZ539" i="3" s="1"/>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AZ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U42" i="34" s="1"/>
  <c r="J42" i="34"/>
  <c r="F42" i="34"/>
  <c r="J38" i="34"/>
  <c r="D114" i="34"/>
  <c r="F38" i="34"/>
  <c r="S38" i="34" s="1"/>
  <c r="D112" i="34"/>
  <c r="E112" i="34" s="1"/>
  <c r="F112" i="34" s="1"/>
  <c r="G112" i="34" s="1"/>
  <c r="F40" i="33"/>
  <c r="AA40" i="33" s="1"/>
  <c r="J41" i="33"/>
  <c r="AC41" i="33" s="1"/>
  <c r="D113" i="33"/>
  <c r="D111" i="33"/>
  <c r="E111" i="33" s="1"/>
  <c r="F111" i="33" s="1"/>
  <c r="G111" i="33" s="1"/>
  <c r="S523" i="31"/>
  <c r="F41" i="2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F29" i="40" s="1"/>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H33" i="39" s="1"/>
  <c r="D99" i="39"/>
  <c r="E99" i="39" s="1"/>
  <c r="F99" i="39"/>
  <c r="G99" i="39" s="1"/>
  <c r="D97" i="39"/>
  <c r="D95" i="39"/>
  <c r="E95" i="39" s="1"/>
  <c r="F95" i="39" s="1"/>
  <c r="G95" i="39" s="1"/>
  <c r="D93" i="39"/>
  <c r="E93" i="39"/>
  <c r="F93" i="39" s="1"/>
  <c r="G93" i="39" s="1"/>
  <c r="D91" i="39"/>
  <c r="E91" i="39"/>
  <c r="F91" i="39" s="1"/>
  <c r="G91" i="39" s="1"/>
  <c r="B88" i="39"/>
  <c r="F16" i="39" s="1"/>
  <c r="B86" i="39"/>
  <c r="H15" i="39" s="1"/>
  <c r="U15" i="39" s="1"/>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D70" i="36"/>
  <c r="H22" i="36"/>
  <c r="D68" i="36"/>
  <c r="E68" i="36" s="1"/>
  <c r="F68" i="36" s="1"/>
  <c r="G68" i="36" s="1"/>
  <c r="D64" i="36"/>
  <c r="E64" i="36" s="1"/>
  <c r="F64" i="36" s="1"/>
  <c r="G64" i="36" s="1"/>
  <c r="J16" i="36"/>
  <c r="AC16" i="36" s="1"/>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F13" i="35" s="1"/>
  <c r="B59" i="35"/>
  <c r="H12" i="35"/>
  <c r="U12" i="35" s="1"/>
  <c r="B131" i="34"/>
  <c r="B129" i="34"/>
  <c r="F46" i="34" s="1"/>
  <c r="B127" i="34"/>
  <c r="B99" i="34"/>
  <c r="H32" i="34" s="1"/>
  <c r="B97" i="34"/>
  <c r="B95" i="34"/>
  <c r="F30" i="34" s="1"/>
  <c r="B93" i="34"/>
  <c r="B75" i="34"/>
  <c r="J14" i="34" s="1"/>
  <c r="B73" i="34"/>
  <c r="B71" i="34"/>
  <c r="H12" i="34" s="1"/>
  <c r="B130" i="33"/>
  <c r="B128" i="33"/>
  <c r="H45" i="33" s="1"/>
  <c r="U45" i="33" s="1"/>
  <c r="B126" i="33"/>
  <c r="B98" i="33"/>
  <c r="F31" i="33" s="1"/>
  <c r="AA31" i="33" s="1"/>
  <c r="B96" i="33"/>
  <c r="B94" i="33"/>
  <c r="B74" i="33"/>
  <c r="B72" i="33"/>
  <c r="J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W8" i="35" s="1"/>
  <c r="H8" i="35"/>
  <c r="F8" i="35"/>
  <c r="AA8" i="35" s="1"/>
  <c r="C7" i="35"/>
  <c r="C48" i="35" s="1"/>
  <c r="D48" i="35" s="1"/>
  <c r="D120" i="34"/>
  <c r="E120" i="34" s="1"/>
  <c r="F120" i="34" s="1"/>
  <c r="G120" i="34" s="1"/>
  <c r="H120" i="34" s="1"/>
  <c r="I120" i="34" s="1"/>
  <c r="J120" i="34" s="1"/>
  <c r="K120" i="34" s="1"/>
  <c r="L120" i="34" s="1"/>
  <c r="M120" i="34" s="1"/>
  <c r="D90" i="34"/>
  <c r="C15" i="34"/>
  <c r="F67" i="34"/>
  <c r="F10" i="34" s="1"/>
  <c r="D126" i="34"/>
  <c r="E126" i="34" s="1"/>
  <c r="F126" i="34" s="1"/>
  <c r="G126" i="34" s="1"/>
  <c r="D124" i="34"/>
  <c r="E124" i="34" s="1"/>
  <c r="F124" i="34" s="1"/>
  <c r="F43" i="34" s="1"/>
  <c r="D118" i="34"/>
  <c r="H40" i="34"/>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H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Q9" i="34"/>
  <c r="Z9" i="34" s="1"/>
  <c r="J8" i="34"/>
  <c r="AC8" i="34" s="1"/>
  <c r="H8" i="34"/>
  <c r="U8" i="34" s="1"/>
  <c r="F8" i="34"/>
  <c r="AA8" i="34" s="1"/>
  <c r="C7" i="34"/>
  <c r="C59" i="34" s="1"/>
  <c r="D59" i="34" s="1"/>
  <c r="E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B92" i="33"/>
  <c r="B90" i="33"/>
  <c r="H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AA8" i="33" s="1"/>
  <c r="C7"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H30" i="21" s="1"/>
  <c r="U30" i="21" s="1"/>
  <c r="B94" i="21"/>
  <c r="B92" i="21"/>
  <c r="H28" i="21" s="1"/>
  <c r="B90" i="21"/>
  <c r="B74" i="21"/>
  <c r="F14" i="21" s="1"/>
  <c r="B72" i="21"/>
  <c r="B70" i="21"/>
  <c r="F10" i="21"/>
  <c r="AA10" i="21" s="1"/>
  <c r="C7" i="21"/>
  <c r="C58" i="21" s="1"/>
  <c r="D58" i="21" s="1"/>
  <c r="E58" i="21" s="1"/>
  <c r="F58" i="21" s="1"/>
  <c r="G58" i="21" s="1"/>
  <c r="H58" i="21" s="1"/>
  <c r="I58" i="21" s="1"/>
  <c r="J58" i="21" s="1"/>
  <c r="K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J5" i="3"/>
  <c r="BE10" i="3"/>
  <c r="BD13" i="3"/>
  <c r="BD5" i="3" s="1"/>
  <c r="BE13" i="3"/>
  <c r="BF13" i="3"/>
  <c r="BG13" i="3"/>
  <c r="BG5" i="3"/>
  <c r="BH13" i="3"/>
  <c r="BI13" i="3"/>
  <c r="BI5" i="3" s="1"/>
  <c r="BJ13" i="3"/>
  <c r="BK13" i="3"/>
  <c r="BK5" i="3" s="1"/>
  <c r="BM13" i="3"/>
  <c r="BN13" i="3"/>
  <c r="BO13" i="3"/>
  <c r="BP13" i="3"/>
  <c r="BP5" i="3" s="1"/>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J12" i="21"/>
  <c r="AC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c r="F16" i="36"/>
  <c r="AA16" i="36"/>
  <c r="W22" i="36"/>
  <c r="U26" i="36"/>
  <c r="J33" i="36"/>
  <c r="W33" i="36" s="1"/>
  <c r="U31" i="35"/>
  <c r="W24" i="35"/>
  <c r="F36" i="34"/>
  <c r="S36" i="34" s="1"/>
  <c r="H39" i="33"/>
  <c r="AB39" i="33" s="1"/>
  <c r="F26" i="33"/>
  <c r="AA26" i="33" s="1"/>
  <c r="S40" i="33"/>
  <c r="S33" i="33"/>
  <c r="H39" i="37"/>
  <c r="AB39" i="37" s="1"/>
  <c r="AB27" i="35"/>
  <c r="S10" i="40"/>
  <c r="W10" i="40"/>
  <c r="S11" i="40"/>
  <c r="U11" i="40"/>
  <c r="S36" i="40"/>
  <c r="U36" i="40"/>
  <c r="S36" i="39"/>
  <c r="F11" i="21"/>
  <c r="S11" i="21" s="1"/>
  <c r="AB36" i="21"/>
  <c r="S42" i="39"/>
  <c r="H11" i="21"/>
  <c r="U11" i="21"/>
  <c r="J11" i="21"/>
  <c r="W11" i="21"/>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J34" i="37"/>
  <c r="W34" i="37"/>
  <c r="E114" i="34"/>
  <c r="H36" i="34"/>
  <c r="U36" i="34" s="1"/>
  <c r="F33" i="34"/>
  <c r="S33" i="34" s="1"/>
  <c r="F19" i="34"/>
  <c r="AA19" i="34" s="1"/>
  <c r="J10" i="34"/>
  <c r="AC10" i="34" s="1"/>
  <c r="J28" i="34"/>
  <c r="W28" i="34" s="1"/>
  <c r="S38" i="33"/>
  <c r="F19" i="33"/>
  <c r="S19" i="33" s="1"/>
  <c r="J19" i="33"/>
  <c r="AC19" i="33" s="1"/>
  <c r="S10" i="21"/>
  <c r="F125" i="21"/>
  <c r="G125" i="21"/>
  <c r="AB30" i="36"/>
  <c r="AC34" i="36"/>
  <c r="S22" i="35"/>
  <c r="H29" i="35"/>
  <c r="S34" i="37"/>
  <c r="AA34" i="37"/>
  <c r="AB42" i="34"/>
  <c r="J19" i="34"/>
  <c r="AC19" i="34"/>
  <c r="AC42" i="34"/>
  <c r="W42" i="34"/>
  <c r="AA42" i="34"/>
  <c r="S42" i="34"/>
  <c r="AC38" i="34"/>
  <c r="W38" i="34"/>
  <c r="AA38" i="34"/>
  <c r="J37" i="33"/>
  <c r="W37" i="33" s="1"/>
  <c r="J42" i="21"/>
  <c r="AC42" i="21" s="1"/>
  <c r="J44" i="34"/>
  <c r="AC44" i="34" s="1"/>
  <c r="F44" i="34"/>
  <c r="S44" i="34" s="1"/>
  <c r="J10" i="35"/>
  <c r="W10" i="35" s="1"/>
  <c r="AL5" i="3"/>
  <c r="BQ13" i="3"/>
  <c r="BL572" i="3"/>
  <c r="J14" i="21"/>
  <c r="W14" i="21" s="1"/>
  <c r="J28" i="21"/>
  <c r="AC28" i="21" s="1"/>
  <c r="F30" i="21"/>
  <c r="S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s="1"/>
  <c r="AB28" i="36"/>
  <c r="AB31" i="21"/>
  <c r="AB13" i="21"/>
  <c r="U46" i="21"/>
  <c r="W31" i="34"/>
  <c r="S46" i="33"/>
  <c r="U36" i="37"/>
  <c r="AB45" i="33"/>
  <c r="AB31" i="33"/>
  <c r="S45" i="21"/>
  <c r="AB44" i="21"/>
  <c r="S19" i="21"/>
  <c r="G529" i="3"/>
  <c r="G521" i="3"/>
  <c r="G517" i="3"/>
  <c r="G508" i="3"/>
  <c r="G493" i="3"/>
  <c r="G17" i="3"/>
  <c r="G561" i="3"/>
  <c r="G549" i="3"/>
  <c r="G545" i="3"/>
  <c r="G539" i="3"/>
  <c r="BL569" i="3"/>
  <c r="BL561" i="3"/>
  <c r="BL553" i="3"/>
  <c r="BL545" i="3"/>
  <c r="BL535" i="3"/>
  <c r="BL519" i="3"/>
  <c r="BL501" i="3"/>
  <c r="BL491" i="3"/>
  <c r="BL483" i="3"/>
  <c r="G16" i="3"/>
  <c r="BL563" i="3"/>
  <c r="BL555" i="3"/>
  <c r="BL551" i="3"/>
  <c r="BL541" i="3"/>
  <c r="BL525" i="3"/>
  <c r="G514" i="3"/>
  <c r="BL503" i="3"/>
  <c r="BL495" i="3"/>
  <c r="BL485" i="3"/>
  <c r="G18" i="3"/>
  <c r="BA569" i="3"/>
  <c r="AZ569" i="3" s="1"/>
  <c r="BA561" i="3"/>
  <c r="AZ561" i="3" s="1"/>
  <c r="BA557" i="3"/>
  <c r="AZ557" i="3" s="1"/>
  <c r="BA555" i="3"/>
  <c r="AZ555" i="3" s="1"/>
  <c r="BA551" i="3"/>
  <c r="AZ551" i="3" s="1"/>
  <c r="BA545" i="3"/>
  <c r="AZ545" i="3" s="1"/>
  <c r="BA543" i="3"/>
  <c r="BA541" i="3"/>
  <c r="AZ541" i="3" s="1"/>
  <c r="BA531" i="3"/>
  <c r="AZ531" i="3" s="1"/>
  <c r="BA521" i="3"/>
  <c r="BA509" i="3"/>
  <c r="BA505" i="3"/>
  <c r="BA501" i="3"/>
  <c r="AZ501" i="3" s="1"/>
  <c r="BA493" i="3"/>
  <c r="BA487" i="3"/>
  <c r="BA19" i="3"/>
  <c r="BA572" i="3"/>
  <c r="AZ572" i="3" s="1"/>
  <c r="BA562" i="3"/>
  <c r="BA558" i="3"/>
  <c r="BA554" i="3"/>
  <c r="BA550" i="3"/>
  <c r="BA546" i="3"/>
  <c r="BA544" i="3"/>
  <c r="BA540" i="3"/>
  <c r="BA532" i="3"/>
  <c r="BA524" i="3"/>
  <c r="AZ524" i="3" s="1"/>
  <c r="BA520" i="3"/>
  <c r="BA516" i="3"/>
  <c r="BA508" i="3"/>
  <c r="BA498" i="3"/>
  <c r="BA492" i="3"/>
  <c r="BA488" i="3"/>
  <c r="BA20" i="3"/>
  <c r="G566" i="3"/>
  <c r="G560" i="3"/>
  <c r="G556" i="3"/>
  <c r="G550" i="3"/>
  <c r="G546" i="3"/>
  <c r="BL543" i="3"/>
  <c r="AZ543" i="3" s="1"/>
  <c r="BA542" i="3"/>
  <c r="AC542" i="3"/>
  <c r="G542" i="3" s="1"/>
  <c r="BQ542" i="3"/>
  <c r="BL542" i="3" s="1"/>
  <c r="AZ542" i="3" s="1"/>
  <c r="BQ568" i="3"/>
  <c r="BQ566" i="3"/>
  <c r="BQ564" i="3"/>
  <c r="BL564" i="3"/>
  <c r="BQ562" i="3"/>
  <c r="BL562" i="3"/>
  <c r="BQ560" i="3"/>
  <c r="BQ558" i="3"/>
  <c r="BL558" i="3" s="1"/>
  <c r="AZ558" i="3" s="1"/>
  <c r="BQ556" i="3"/>
  <c r="BQ554" i="3"/>
  <c r="BQ552" i="3"/>
  <c r="BL552" i="3" s="1"/>
  <c r="BQ550" i="3"/>
  <c r="BL550" i="3" s="1"/>
  <c r="AZ550" i="3" s="1"/>
  <c r="BQ548" i="3"/>
  <c r="BQ546" i="3"/>
  <c r="BL546" i="3" s="1"/>
  <c r="BQ544" i="3"/>
  <c r="BL544" i="3" s="1"/>
  <c r="G544" i="3"/>
  <c r="G534" i="3"/>
  <c r="G526" i="3"/>
  <c r="G522" i="3"/>
  <c r="BQ540" i="3"/>
  <c r="BL540" i="3" s="1"/>
  <c r="AZ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Z508" i="3" s="1"/>
  <c r="AC506" i="3"/>
  <c r="G506" i="3" s="1"/>
  <c r="BQ506" i="3"/>
  <c r="BL506" i="3" s="1"/>
  <c r="G498" i="3"/>
  <c r="BQ504" i="3"/>
  <c r="BQ502" i="3"/>
  <c r="BL502" i="3" s="1"/>
  <c r="BQ500" i="3"/>
  <c r="BQ498" i="3"/>
  <c r="BQ496" i="3"/>
  <c r="AC494" i="3"/>
  <c r="AC5" i="3" s="1"/>
  <c r="BQ494" i="3"/>
  <c r="BL493" i="3"/>
  <c r="G492" i="3"/>
  <c r="G488" i="3"/>
  <c r="G20" i="3"/>
  <c r="BQ492" i="3"/>
  <c r="BL492" i="3"/>
  <c r="BQ490" i="3"/>
  <c r="BQ488" i="3"/>
  <c r="BL488" i="3" s="1"/>
  <c r="AZ488" i="3" s="1"/>
  <c r="BQ486" i="3"/>
  <c r="BQ484" i="3"/>
  <c r="BQ482" i="3"/>
  <c r="BQ20" i="3"/>
  <c r="BL20" i="3" s="1"/>
  <c r="AZ20" i="3" s="1"/>
  <c r="BQ18" i="3"/>
  <c r="BL18" i="3" s="1"/>
  <c r="AZ18" i="3" s="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F42" i="33" s="1"/>
  <c r="G123" i="33"/>
  <c r="H123" i="33" s="1"/>
  <c r="I123" i="33" s="1"/>
  <c r="J123" i="33" s="1"/>
  <c r="K123" i="33" s="1"/>
  <c r="L123" i="33" s="1"/>
  <c r="M123" i="33" s="1"/>
  <c r="J43" i="33"/>
  <c r="AC43" i="33"/>
  <c r="J23" i="37"/>
  <c r="W23" i="37" s="1"/>
  <c r="F17" i="37"/>
  <c r="AA17" i="37" s="1"/>
  <c r="AB43" i="33"/>
  <c r="D3" i="21"/>
  <c r="AC12" i="35"/>
  <c r="S27" i="37"/>
  <c r="U39" i="37"/>
  <c r="AC8" i="37"/>
  <c r="AC36" i="34"/>
  <c r="AA13" i="33"/>
  <c r="U19" i="21"/>
  <c r="AC33" i="21"/>
  <c r="AA36" i="21"/>
  <c r="F43" i="33"/>
  <c r="AA43" i="33" s="1"/>
  <c r="AA23" i="37"/>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0" i="3"/>
  <c r="AZ74" i="3"/>
  <c r="AZ82" i="3"/>
  <c r="AZ84"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F33" i="46"/>
  <c r="H16" i="48"/>
  <c r="H9" i="48"/>
  <c r="H8" i="48"/>
  <c r="C12" i="46"/>
  <c r="AB16" i="35"/>
  <c r="AB15" i="37"/>
  <c r="U43" i="21"/>
  <c r="AA13" i="40"/>
  <c r="E78" i="40"/>
  <c r="F78" i="40" s="1"/>
  <c r="G78" i="40" s="1"/>
  <c r="H78" i="40" s="1"/>
  <c r="I78" i="40" s="1"/>
  <c r="J78" i="40" s="1"/>
  <c r="K78" i="40" s="1"/>
  <c r="L78" i="40" s="1"/>
  <c r="M78" i="40" s="1"/>
  <c r="R16" i="4"/>
  <c r="P16" i="4"/>
  <c r="D3" i="35"/>
  <c r="G4" i="4"/>
  <c r="J16" i="35"/>
  <c r="W16" i="35" s="1"/>
  <c r="U42" i="21"/>
  <c r="AC26" i="36"/>
  <c r="W25" i="35"/>
  <c r="AZ354" i="3"/>
  <c r="H11" i="37"/>
  <c r="AB11" i="37" s="1"/>
  <c r="W37" i="37"/>
  <c r="AA30" i="33"/>
  <c r="AA36" i="37"/>
  <c r="AZ532" i="3"/>
  <c r="AC29" i="33"/>
  <c r="AC11" i="36"/>
  <c r="AC10" i="36"/>
  <c r="AB45" i="34"/>
  <c r="AC14" i="37"/>
  <c r="AB35" i="35"/>
  <c r="S25" i="35"/>
  <c r="W44" i="33"/>
  <c r="W30" i="33"/>
  <c r="W32" i="36"/>
  <c r="AC32" i="36"/>
  <c r="U28" i="33"/>
  <c r="J33" i="34"/>
  <c r="W33" i="34" s="1"/>
  <c r="J40" i="34"/>
  <c r="W40" i="34" s="1"/>
  <c r="F16" i="35"/>
  <c r="AA16" i="35" s="1"/>
  <c r="S24" i="36"/>
  <c r="J35" i="34"/>
  <c r="W35" i="34" s="1"/>
  <c r="S30" i="36"/>
  <c r="H16" i="36"/>
  <c r="AB16" i="36"/>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c r="J15" i="33"/>
  <c r="W15" i="33"/>
  <c r="H19" i="33"/>
  <c r="AB19" i="33"/>
  <c r="F32" i="33"/>
  <c r="AA32" i="33"/>
  <c r="F35" i="33"/>
  <c r="AA35" i="33"/>
  <c r="E80" i="34"/>
  <c r="F80" i="34" s="1"/>
  <c r="G80" i="34" s="1"/>
  <c r="W27" i="34"/>
  <c r="S12" i="35"/>
  <c r="AB28" i="35"/>
  <c r="U28" i="35"/>
  <c r="H29" i="33"/>
  <c r="AB29" i="33" s="1"/>
  <c r="F29" i="33"/>
  <c r="AA29" i="33" s="1"/>
  <c r="J12" i="34"/>
  <c r="AC12" i="34" s="1"/>
  <c r="F12" i="34"/>
  <c r="S12" i="34" s="1"/>
  <c r="F14" i="34"/>
  <c r="S14" i="34" s="1"/>
  <c r="H30" i="34"/>
  <c r="AB30" i="34" s="1"/>
  <c r="J30" i="34"/>
  <c r="W30" i="34" s="1"/>
  <c r="F32" i="34"/>
  <c r="AA32" i="34" s="1"/>
  <c r="H46" i="34"/>
  <c r="AB46" i="34" s="1"/>
  <c r="J46" i="34"/>
  <c r="AC46" i="34" s="1"/>
  <c r="H11" i="35"/>
  <c r="J11" i="35"/>
  <c r="AC11" i="35" s="1"/>
  <c r="F96" i="37"/>
  <c r="G96" i="37" s="1"/>
  <c r="H96" i="37" s="1"/>
  <c r="I96" i="37" s="1"/>
  <c r="J96" i="37" s="1"/>
  <c r="K96" i="37" s="1"/>
  <c r="L96" i="37" s="1"/>
  <c r="M96" i="37" s="1"/>
  <c r="H32" i="37"/>
  <c r="AB32" i="37" s="1"/>
  <c r="F19" i="39"/>
  <c r="S19" i="39" s="1"/>
  <c r="H19" i="39"/>
  <c r="U19" i="39" s="1"/>
  <c r="J19" i="39"/>
  <c r="W19" i="39" s="1"/>
  <c r="F43" i="39"/>
  <c r="AA43" i="39" s="1"/>
  <c r="H43" i="39"/>
  <c r="U43" i="39" s="1"/>
  <c r="J43" i="39"/>
  <c r="AC43" i="39" s="1"/>
  <c r="F99" i="37"/>
  <c r="G99" i="37" s="1"/>
  <c r="H99" i="37" s="1"/>
  <c r="I99" i="37" s="1"/>
  <c r="J99" i="37" s="1"/>
  <c r="K99" i="37" s="1"/>
  <c r="L99" i="37" s="1"/>
  <c r="M99" i="37" s="1"/>
  <c r="AC27" i="37"/>
  <c r="U25" i="35"/>
  <c r="S45" i="34"/>
  <c r="U31" i="34"/>
  <c r="AC40" i="37"/>
  <c r="W40" i="37"/>
  <c r="W27" i="33"/>
  <c r="AC45" i="21"/>
  <c r="AB29" i="35"/>
  <c r="U29" i="35"/>
  <c r="W19" i="33"/>
  <c r="AC34" i="37"/>
  <c r="S35" i="37"/>
  <c r="AA35" i="37"/>
  <c r="AB10" i="35"/>
  <c r="AA32" i="21"/>
  <c r="S32" i="21"/>
  <c r="U38" i="21"/>
  <c r="AB34" i="21"/>
  <c r="BL571" i="3"/>
  <c r="BA571" i="3"/>
  <c r="AZ571" i="3" s="1"/>
  <c r="BL570" i="3"/>
  <c r="BE5" i="3"/>
  <c r="F42" i="21"/>
  <c r="AA42" i="21"/>
  <c r="AB40" i="33"/>
  <c r="U40" i="33"/>
  <c r="S35" i="34"/>
  <c r="E90" i="34"/>
  <c r="F90" i="34" s="1"/>
  <c r="G90" i="34" s="1"/>
  <c r="H90" i="34" s="1"/>
  <c r="I90" i="34" s="1"/>
  <c r="J90" i="34" s="1"/>
  <c r="K90" i="34" s="1"/>
  <c r="L90" i="34" s="1"/>
  <c r="M90"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9" i="39"/>
  <c r="AA39" i="39" s="1"/>
  <c r="J39" i="39"/>
  <c r="W39" i="39" s="1"/>
  <c r="J29" i="35"/>
  <c r="AC29" i="35" s="1"/>
  <c r="F29" i="35"/>
  <c r="S29" i="35" s="1"/>
  <c r="AC30" i="36"/>
  <c r="F37" i="39"/>
  <c r="S37" i="39" s="1"/>
  <c r="H37" i="39"/>
  <c r="U37" i="39" s="1"/>
  <c r="J37" i="39"/>
  <c r="W37" i="39" s="1"/>
  <c r="BL568" i="3"/>
  <c r="BA568" i="3"/>
  <c r="AZ568" i="3"/>
  <c r="BA567" i="3"/>
  <c r="BL565" i="3"/>
  <c r="BA563" i="3"/>
  <c r="AZ563" i="3" s="1"/>
  <c r="BA553" i="3"/>
  <c r="AZ553" i="3" s="1"/>
  <c r="BA552" i="3"/>
  <c r="AZ552" i="3" s="1"/>
  <c r="BL549" i="3"/>
  <c r="BA549" i="3"/>
  <c r="BL548" i="3"/>
  <c r="AZ548" i="3" s="1"/>
  <c r="BA548" i="3"/>
  <c r="BL547" i="3"/>
  <c r="BA547" i="3"/>
  <c r="BL539" i="3"/>
  <c r="BL537" i="3"/>
  <c r="BL536" i="3"/>
  <c r="BA535" i="3"/>
  <c r="AZ535" i="3" s="1"/>
  <c r="BA534" i="3"/>
  <c r="AZ534" i="3" s="1"/>
  <c r="BA533" i="3"/>
  <c r="AZ533" i="3" s="1"/>
  <c r="BL531" i="3"/>
  <c r="BL530" i="3"/>
  <c r="BL529" i="3"/>
  <c r="BL528" i="3"/>
  <c r="BA527" i="3"/>
  <c r="AZ527" i="3" s="1"/>
  <c r="BA526" i="3"/>
  <c r="AZ526" i="3" s="1"/>
  <c r="BA525" i="3"/>
  <c r="AZ525" i="3" s="1"/>
  <c r="BL523" i="3"/>
  <c r="BA523" i="3"/>
  <c r="BL522" i="3"/>
  <c r="AZ522" i="3" s="1"/>
  <c r="BA522" i="3"/>
  <c r="BL521" i="3"/>
  <c r="AZ521" i="3"/>
  <c r="BA519" i="3"/>
  <c r="AZ519" i="3"/>
  <c r="BA518" i="3"/>
  <c r="BA517" i="3"/>
  <c r="AZ517" i="3" s="1"/>
  <c r="BL515" i="3"/>
  <c r="BA514" i="3"/>
  <c r="AZ514" i="3" s="1"/>
  <c r="BL513" i="3"/>
  <c r="BL512" i="3"/>
  <c r="BA510" i="3"/>
  <c r="BL507" i="3"/>
  <c r="AZ507" i="3" s="1"/>
  <c r="BA507" i="3"/>
  <c r="BA506" i="3"/>
  <c r="BL505" i="3"/>
  <c r="AZ505" i="3" s="1"/>
  <c r="BL504" i="3"/>
  <c r="BA503" i="3"/>
  <c r="AZ503" i="3" s="1"/>
  <c r="BL499" i="3"/>
  <c r="BA497" i="3"/>
  <c r="BL496" i="3"/>
  <c r="BA496" i="3"/>
  <c r="AZ496" i="3" s="1"/>
  <c r="BA495" i="3"/>
  <c r="AZ495" i="3" s="1"/>
  <c r="BL494" i="3"/>
  <c r="BA494" i="3"/>
  <c r="AZ494" i="3"/>
  <c r="BA491" i="3"/>
  <c r="AZ491" i="3" s="1"/>
  <c r="BL490" i="3"/>
  <c r="BA490" i="3"/>
  <c r="AZ490" i="3" s="1"/>
  <c r="BL489" i="3"/>
  <c r="BA489" i="3"/>
  <c r="BL487" i="3"/>
  <c r="AZ487" i="3" s="1"/>
  <c r="BA486" i="3"/>
  <c r="AZ486" i="3" s="1"/>
  <c r="BA483" i="3"/>
  <c r="AZ483" i="3" s="1"/>
  <c r="BL481" i="3"/>
  <c r="BA481" i="3"/>
  <c r="AZ481" i="3" s="1"/>
  <c r="BL19" i="3"/>
  <c r="AZ19" i="3" s="1"/>
  <c r="BA18"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E78" i="34"/>
  <c r="F78" i="34" s="1"/>
  <c r="G78" i="34" s="1"/>
  <c r="F15" i="34"/>
  <c r="S15" i="34" s="1"/>
  <c r="AC28" i="35"/>
  <c r="W28" i="35"/>
  <c r="J20" i="35"/>
  <c r="AC20" i="35" s="1"/>
  <c r="E72" i="35"/>
  <c r="F72" i="35" s="1"/>
  <c r="G72" i="35" s="1"/>
  <c r="H22" i="35"/>
  <c r="AB22" i="35" s="1"/>
  <c r="H23" i="35"/>
  <c r="AB23" i="35" s="1"/>
  <c r="W12" i="36"/>
  <c r="U31" i="36"/>
  <c r="S8" i="37"/>
  <c r="AA8" i="37"/>
  <c r="F23" i="39"/>
  <c r="AA23" i="39" s="1"/>
  <c r="E97" i="39"/>
  <c r="H27" i="39"/>
  <c r="AB27" i="39" s="1"/>
  <c r="F15" i="40"/>
  <c r="AA15" i="40" s="1"/>
  <c r="J15" i="40"/>
  <c r="H15" i="40"/>
  <c r="AB15" i="40" s="1"/>
  <c r="E92" i="40"/>
  <c r="F92" i="40" s="1"/>
  <c r="G92" i="40" s="1"/>
  <c r="H23" i="40"/>
  <c r="U23" i="40" s="1"/>
  <c r="H41" i="40"/>
  <c r="AB41" i="40" s="1"/>
  <c r="F41" i="40"/>
  <c r="AA41" i="40" s="1"/>
  <c r="J41" i="40"/>
  <c r="AC41" i="40" s="1"/>
  <c r="F15" i="39"/>
  <c r="AA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AZ399" i="3"/>
  <c r="AZ403" i="3"/>
  <c r="AZ415" i="3"/>
  <c r="AZ431" i="3"/>
  <c r="AZ439" i="3"/>
  <c r="B41" i="1"/>
  <c r="J42" i="40"/>
  <c r="AC42" i="40" s="1"/>
  <c r="J40" i="40"/>
  <c r="AC40" i="40" s="1"/>
  <c r="J34" i="40"/>
  <c r="AC34" i="40" s="1"/>
  <c r="H16" i="40"/>
  <c r="AB16" i="40" s="1"/>
  <c r="H14" i="40"/>
  <c r="U14" i="40" s="1"/>
  <c r="F32" i="40"/>
  <c r="AA32" i="40" s="1"/>
  <c r="AZ401" i="3"/>
  <c r="AZ433" i="3"/>
  <c r="AZ441" i="3"/>
  <c r="AZ444" i="3"/>
  <c r="M1" i="46"/>
  <c r="M6" i="46"/>
  <c r="M10" i="46"/>
  <c r="N2" i="46"/>
  <c r="N5" i="46"/>
  <c r="F58" i="46"/>
  <c r="H61" i="46"/>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7" i="3"/>
  <c r="AZ180" i="3"/>
  <c r="AZ32" i="3"/>
  <c r="AZ48" i="3"/>
  <c r="AZ63" i="3"/>
  <c r="AZ99" i="3"/>
  <c r="J13" i="40"/>
  <c r="W13" i="40" s="1"/>
  <c r="AB14" i="40"/>
  <c r="W40" i="40"/>
  <c r="F34" i="44"/>
  <c r="F27" i="43"/>
  <c r="F66" i="9"/>
  <c r="P72" i="9" s="1"/>
  <c r="F71" i="9"/>
  <c r="F72" i="9"/>
  <c r="AC14" i="40"/>
  <c r="W35" i="40"/>
  <c r="S33" i="40"/>
  <c r="AB32" i="40"/>
  <c r="S47" i="39"/>
  <c r="W41" i="40"/>
  <c r="J23" i="40"/>
  <c r="AC23" i="40" s="1"/>
  <c r="F23" i="40"/>
  <c r="S23" i="40" s="1"/>
  <c r="AC15" i="40"/>
  <c r="W15" i="40"/>
  <c r="U23" i="35"/>
  <c r="H20" i="35"/>
  <c r="AB20" i="35" s="1"/>
  <c r="F20" i="35"/>
  <c r="S20" i="35"/>
  <c r="H15" i="34"/>
  <c r="AB15" i="34"/>
  <c r="J15" i="34"/>
  <c r="AC15" i="34"/>
  <c r="H41" i="33"/>
  <c r="U41" i="33"/>
  <c r="F121" i="33"/>
  <c r="G121" i="33"/>
  <c r="H121" i="33" s="1"/>
  <c r="I121" i="33" s="1"/>
  <c r="J121" i="33" s="1"/>
  <c r="K121" i="33" s="1"/>
  <c r="L121" i="33" s="1"/>
  <c r="M121" i="33" s="1"/>
  <c r="F30" i="40"/>
  <c r="AA30" i="40"/>
  <c r="AZ547" i="3"/>
  <c r="AZ549" i="3"/>
  <c r="AA29" i="35"/>
  <c r="J29" i="39"/>
  <c r="AC29" i="39" s="1"/>
  <c r="AA11" i="36"/>
  <c r="AA14" i="35"/>
  <c r="S14" i="35"/>
  <c r="F33" i="37"/>
  <c r="AA33" i="37" s="1"/>
  <c r="AB19" i="39"/>
  <c r="U46" i="34"/>
  <c r="W12" i="34"/>
  <c r="H15" i="33"/>
  <c r="U15" i="33" s="1"/>
  <c r="AA40" i="21"/>
  <c r="U17" i="21"/>
  <c r="U16" i="40"/>
  <c r="AB42" i="40"/>
  <c r="U42" i="40"/>
  <c r="AC16" i="40"/>
  <c r="W32" i="40"/>
  <c r="H25" i="40"/>
  <c r="AB25" i="40" s="1"/>
  <c r="F94" i="40"/>
  <c r="G94" i="40" s="1"/>
  <c r="AB23" i="40"/>
  <c r="H23" i="39"/>
  <c r="AB23" i="39" s="1"/>
  <c r="J23" i="39"/>
  <c r="AC23" i="39" s="1"/>
  <c r="F97" i="39"/>
  <c r="G97" i="39" s="1"/>
  <c r="AA15" i="34"/>
  <c r="AA34" i="33"/>
  <c r="J34" i="33"/>
  <c r="AC34" i="33" s="1"/>
  <c r="AA37" i="39"/>
  <c r="W29" i="35"/>
  <c r="AC39" i="39"/>
  <c r="AB46" i="39"/>
  <c r="AB44" i="39"/>
  <c r="S33" i="39"/>
  <c r="F80" i="35"/>
  <c r="G80" i="35" s="1"/>
  <c r="H80" i="35" s="1"/>
  <c r="I80" i="35" s="1"/>
  <c r="J80" i="35" s="1"/>
  <c r="K80" i="35" s="1"/>
  <c r="L80" i="35" s="1"/>
  <c r="M80" i="35" s="1"/>
  <c r="W14" i="35"/>
  <c r="F27" i="34"/>
  <c r="S27" i="34" s="1"/>
  <c r="S43" i="39"/>
  <c r="AA19" i="39"/>
  <c r="F32" i="37"/>
  <c r="S32" i="37" s="1"/>
  <c r="U11" i="35"/>
  <c r="AB11" i="35"/>
  <c r="J17" i="34"/>
  <c r="AC17" i="34" s="1"/>
  <c r="J35" i="33"/>
  <c r="W35" i="33" s="1"/>
  <c r="AC15" i="33"/>
  <c r="H10" i="33"/>
  <c r="U10" i="33"/>
  <c r="J10" i="33"/>
  <c r="AC10" i="33" s="1"/>
  <c r="U40" i="21"/>
  <c r="U11" i="37"/>
  <c r="AC13" i="40"/>
  <c r="F25" i="40"/>
  <c r="AA25" i="40" s="1"/>
  <c r="H33" i="37"/>
  <c r="AB33" i="37" s="1"/>
  <c r="W23" i="40"/>
  <c r="AP11" i="1"/>
  <c r="B11" i="1"/>
  <c r="E11" i="1" s="1"/>
  <c r="K11" i="1"/>
  <c r="M11" i="1" s="1"/>
  <c r="B9" i="1"/>
  <c r="E9" i="1" s="1"/>
  <c r="K9" i="1"/>
  <c r="M9" i="1" s="1"/>
  <c r="O9" i="1" s="1"/>
  <c r="P9" i="1" s="1"/>
  <c r="B7" i="1"/>
  <c r="E7" i="1" s="1"/>
  <c r="C20" i="43"/>
  <c r="F6" i="1"/>
  <c r="AP6" i="1" s="1"/>
  <c r="G11" i="1"/>
  <c r="M22" i="44"/>
  <c r="F32" i="15"/>
  <c r="F59" i="15" s="1"/>
  <c r="F29" i="12"/>
  <c r="F70" i="9"/>
  <c r="D86" i="9"/>
  <c r="M20" i="44"/>
  <c r="F31" i="43"/>
  <c r="C31" i="43" s="1"/>
  <c r="F30" i="44"/>
  <c r="AC25" i="36"/>
  <c r="S8" i="36"/>
  <c r="AA28" i="36"/>
  <c r="U25" i="36"/>
  <c r="H20" i="36"/>
  <c r="U20" i="36" s="1"/>
  <c r="J20" i="36"/>
  <c r="AC20" i="36" s="1"/>
  <c r="F20" i="36"/>
  <c r="S20" i="36" s="1"/>
  <c r="F62" i="36"/>
  <c r="G62" i="36" s="1"/>
  <c r="J14" i="36"/>
  <c r="H14" i="36"/>
  <c r="AB14" i="36" s="1"/>
  <c r="F14" i="36"/>
  <c r="AA14" i="36" s="1"/>
  <c r="W20" i="36"/>
  <c r="U27" i="36"/>
  <c r="U32" i="36"/>
  <c r="AB12" i="36"/>
  <c r="S33" i="36"/>
  <c r="AA27" i="36"/>
  <c r="S16" i="36"/>
  <c r="S29" i="36"/>
  <c r="AC33" i="35"/>
  <c r="S8" i="35"/>
  <c r="U33" i="35"/>
  <c r="AA20" i="35"/>
  <c r="W20" i="35"/>
  <c r="S16" i="35"/>
  <c r="AC10" i="35"/>
  <c r="AC18" i="35"/>
  <c r="W18" i="35"/>
  <c r="U18" i="35"/>
  <c r="AB18" i="35"/>
  <c r="S30" i="35"/>
  <c r="AA35" i="35"/>
  <c r="AB30" i="35"/>
  <c r="S27" i="35"/>
  <c r="S28" i="35"/>
  <c r="J26" i="35"/>
  <c r="AC26" i="35" s="1"/>
  <c r="F26" i="35"/>
  <c r="H26" i="35"/>
  <c r="AB26" i="35" s="1"/>
  <c r="W12" i="37"/>
  <c r="S17" i="37"/>
  <c r="W28" i="37"/>
  <c r="AB37" i="37"/>
  <c r="AA31" i="37"/>
  <c r="S33" i="37"/>
  <c r="U32" i="37"/>
  <c r="J33" i="37"/>
  <c r="W33" i="37" s="1"/>
  <c r="S29" i="37"/>
  <c r="J19" i="37"/>
  <c r="AC19" i="37"/>
  <c r="G75" i="37"/>
  <c r="F19" i="37"/>
  <c r="AA19" i="37" s="1"/>
  <c r="H19" i="37"/>
  <c r="J17" i="37"/>
  <c r="W17" i="37" s="1"/>
  <c r="AC10" i="37"/>
  <c r="AC21" i="37"/>
  <c r="W21" i="37"/>
  <c r="AC11" i="37"/>
  <c r="AC9" i="37"/>
  <c r="U35" i="37"/>
  <c r="AB21" i="37"/>
  <c r="U21" i="37"/>
  <c r="S37" i="37"/>
  <c r="AA11" i="37"/>
  <c r="S10" i="37"/>
  <c r="W46" i="34"/>
  <c r="AC45" i="34"/>
  <c r="U30" i="34"/>
  <c r="AB33" i="34"/>
  <c r="U44" i="34"/>
  <c r="U28" i="34"/>
  <c r="J25" i="34"/>
  <c r="H25" i="34"/>
  <c r="AB25" i="34" s="1"/>
  <c r="F25" i="34"/>
  <c r="S25" i="34"/>
  <c r="F86" i="34"/>
  <c r="G86" i="34" s="1"/>
  <c r="H23" i="34"/>
  <c r="AB23" i="34" s="1"/>
  <c r="W19" i="34"/>
  <c r="W29" i="34"/>
  <c r="U19" i="34"/>
  <c r="AA41" i="34"/>
  <c r="U39" i="33"/>
  <c r="S29" i="33"/>
  <c r="W31" i="33"/>
  <c r="W43" i="33"/>
  <c r="U46" i="33"/>
  <c r="W39" i="33"/>
  <c r="U35" i="33"/>
  <c r="AB34" i="33"/>
  <c r="AB26" i="33"/>
  <c r="H25" i="33"/>
  <c r="AB25" i="33" s="1"/>
  <c r="J25" i="33"/>
  <c r="W25" i="33" s="1"/>
  <c r="F87" i="33"/>
  <c r="G87" i="33" s="1"/>
  <c r="H87" i="33" s="1"/>
  <c r="I87" i="33" s="1"/>
  <c r="J87" i="33" s="1"/>
  <c r="K87" i="33" s="1"/>
  <c r="L87" i="33" s="1"/>
  <c r="M87" i="33" s="1"/>
  <c r="F25" i="33"/>
  <c r="S25" i="33" s="1"/>
  <c r="F85" i="33"/>
  <c r="G85" i="33" s="1"/>
  <c r="J23" i="33"/>
  <c r="W23" i="33" s="1"/>
  <c r="F23" i="33"/>
  <c r="H23" i="33"/>
  <c r="U23" i="33" s="1"/>
  <c r="F79" i="33"/>
  <c r="G79" i="33" s="1"/>
  <c r="F17" i="33"/>
  <c r="AA17" i="33" s="1"/>
  <c r="H17" i="33"/>
  <c r="J17" i="33"/>
  <c r="AC17" i="33" s="1"/>
  <c r="S10" i="33"/>
  <c r="S14" i="33"/>
  <c r="AC21" i="33"/>
  <c r="W21" i="33"/>
  <c r="W14" i="33"/>
  <c r="AB21" i="33"/>
  <c r="U21" i="33"/>
  <c r="AA21" i="33"/>
  <c r="S21" i="33"/>
  <c r="AA44" i="33"/>
  <c r="W39" i="21"/>
  <c r="AC34" i="21"/>
  <c r="W32" i="21"/>
  <c r="U35" i="21"/>
  <c r="W43" i="21"/>
  <c r="S42" i="21"/>
  <c r="AB37" i="21"/>
  <c r="AB32" i="21"/>
  <c r="AC46" i="21"/>
  <c r="AC26" i="21"/>
  <c r="F85" i="21"/>
  <c r="G85" i="21" s="1"/>
  <c r="J23" i="21"/>
  <c r="W23" i="21" s="1"/>
  <c r="F23" i="21"/>
  <c r="AA23" i="21" s="1"/>
  <c r="H23" i="21"/>
  <c r="AA17" i="21"/>
  <c r="F15" i="21"/>
  <c r="S15" i="21" s="1"/>
  <c r="F77" i="21"/>
  <c r="G77" i="21" s="1"/>
  <c r="J15" i="21"/>
  <c r="W15" i="21" s="1"/>
  <c r="H15" i="21"/>
  <c r="AC11" i="21"/>
  <c r="AB11" i="21"/>
  <c r="W13" i="21"/>
  <c r="AA11" i="21"/>
  <c r="AC23" i="21"/>
  <c r="AC21" i="21"/>
  <c r="W21" i="21"/>
  <c r="AC19" i="21"/>
  <c r="W10" i="21"/>
  <c r="AC38" i="21"/>
  <c r="AB21" i="21"/>
  <c r="U21" i="21"/>
  <c r="AB29" i="21"/>
  <c r="AA30" i="21"/>
  <c r="AA31" i="21"/>
  <c r="W33" i="40"/>
  <c r="U33" i="40"/>
  <c r="S35" i="40"/>
  <c r="S14" i="40"/>
  <c r="AB13" i="40"/>
  <c r="S16" i="40"/>
  <c r="W11" i="40"/>
  <c r="U21" i="40"/>
  <c r="W25" i="40"/>
  <c r="U25" i="40"/>
  <c r="U35" i="40"/>
  <c r="F37" i="40"/>
  <c r="J37" i="40"/>
  <c r="AC37" i="40" s="1"/>
  <c r="H37" i="40"/>
  <c r="U37" i="40" s="1"/>
  <c r="G113" i="40"/>
  <c r="H113" i="40" s="1"/>
  <c r="I113" i="40" s="1"/>
  <c r="J113" i="40" s="1"/>
  <c r="K113" i="40" s="1"/>
  <c r="L113" i="40" s="1"/>
  <c r="M113" i="40" s="1"/>
  <c r="F39" i="40"/>
  <c r="AA39" i="40" s="1"/>
  <c r="H39" i="40"/>
  <c r="AB39" i="40" s="1"/>
  <c r="J39" i="40"/>
  <c r="W38" i="40"/>
  <c r="H29" i="40"/>
  <c r="U29" i="40" s="1"/>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A21" i="39"/>
  <c r="AC21" i="39"/>
  <c r="U11" i="39"/>
  <c r="U23" i="39"/>
  <c r="U31" i="39"/>
  <c r="AB31" i="39"/>
  <c r="M20" i="15"/>
  <c r="D96" i="9"/>
  <c r="F28" i="15"/>
  <c r="M18" i="15"/>
  <c r="BA16" i="3"/>
  <c r="BA17" i="3"/>
  <c r="AZ17" i="3"/>
  <c r="F3" i="35"/>
  <c r="K1" i="43"/>
  <c r="K1" i="12"/>
  <c r="G1" i="44"/>
  <c r="G3" i="46"/>
  <c r="Y11" i="46" s="1"/>
  <c r="Y13" i="46" s="1"/>
  <c r="AZ15" i="3"/>
  <c r="BO5" i="3"/>
  <c r="BN5" i="3"/>
  <c r="G29" i="6" s="1"/>
  <c r="BR5" i="3"/>
  <c r="G28" i="6" s="1"/>
  <c r="BQ5" i="3"/>
  <c r="BL16" i="3"/>
  <c r="BM5" i="3"/>
  <c r="F29"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B12" i="35"/>
  <c r="AA11" i="35"/>
  <c r="S14" i="37"/>
  <c r="S13" i="21"/>
  <c r="C24" i="9"/>
  <c r="C25" i="9"/>
  <c r="I20" i="46"/>
  <c r="B6" i="63"/>
  <c r="B46" i="50"/>
  <c r="B4" i="63" s="1"/>
  <c r="C46" i="36"/>
  <c r="D46" i="36" s="1"/>
  <c r="O19" i="46"/>
  <c r="H86" i="46"/>
  <c r="H82" i="46"/>
  <c r="H10" i="48"/>
  <c r="H87" i="46"/>
  <c r="H85" i="46"/>
  <c r="H83" i="46"/>
  <c r="K10" i="1"/>
  <c r="M10" i="1" s="1"/>
  <c r="O10" i="1" s="1"/>
  <c r="P10" i="1" s="1"/>
  <c r="S11" i="1"/>
  <c r="R11" i="1"/>
  <c r="S13" i="1"/>
  <c r="R13" i="1"/>
  <c r="B6" i="1"/>
  <c r="E6" i="1" s="1"/>
  <c r="B10" i="1"/>
  <c r="E10" i="1" s="1"/>
  <c r="B8" i="1"/>
  <c r="E8" i="1" s="1"/>
  <c r="B12" i="1"/>
  <c r="E12" i="1" s="1"/>
  <c r="S12" i="1"/>
  <c r="G1" i="15"/>
  <c r="F66" i="36"/>
  <c r="G66" i="36" s="1"/>
  <c r="H18" i="36"/>
  <c r="U18" i="36" s="1"/>
  <c r="U16" i="36"/>
  <c r="S25" i="36"/>
  <c r="AA34" i="36"/>
  <c r="AC27" i="36"/>
  <c r="W28" i="36"/>
  <c r="U13" i="36"/>
  <c r="U10" i="36"/>
  <c r="W29" i="36"/>
  <c r="W8" i="36"/>
  <c r="AC30" i="35"/>
  <c r="W32" i="35"/>
  <c r="AA33" i="35"/>
  <c r="U32" i="35"/>
  <c r="W22" i="35"/>
  <c r="S32" i="35"/>
  <c r="W35" i="37"/>
  <c r="AC33" i="37"/>
  <c r="AC15" i="37"/>
  <c r="S12" i="37"/>
  <c r="W38" i="37"/>
  <c r="W36" i="37"/>
  <c r="U26" i="37"/>
  <c r="AB28" i="37"/>
  <c r="S28" i="37"/>
  <c r="U38" i="37"/>
  <c r="S26" i="37"/>
  <c r="AA31" i="34"/>
  <c r="W47" i="34"/>
  <c r="AB29" i="34"/>
  <c r="AB47" i="34"/>
  <c r="AB13" i="34"/>
  <c r="S47" i="34"/>
  <c r="AA29" i="34"/>
  <c r="S19" i="34"/>
  <c r="S8" i="34"/>
  <c r="AA19" i="33"/>
  <c r="S43" i="33"/>
  <c r="AB14" i="33"/>
  <c r="S15" i="33"/>
  <c r="S39" i="21"/>
  <c r="AB25" i="21"/>
  <c r="AB45" i="21"/>
  <c r="W25" i="21"/>
  <c r="AA25" i="21"/>
  <c r="AC37" i="21"/>
  <c r="AA29" i="21"/>
  <c r="U27" i="21"/>
  <c r="W31" i="21"/>
  <c r="S27" i="21"/>
  <c r="AC27" i="21"/>
  <c r="W29" i="21"/>
  <c r="G96" i="40"/>
  <c r="J27" i="40"/>
  <c r="W27" i="40" s="1"/>
  <c r="W37" i="40"/>
  <c r="S17" i="40"/>
  <c r="W30" i="40"/>
  <c r="U17" i="40"/>
  <c r="U38" i="40"/>
  <c r="S40" i="40"/>
  <c r="S42" i="40"/>
  <c r="J31" i="39"/>
  <c r="W31" i="39" s="1"/>
  <c r="S45" i="39"/>
  <c r="AC46" i="39"/>
  <c r="W23" i="39"/>
  <c r="AC37" i="39"/>
  <c r="W45" i="39"/>
  <c r="S41" i="39"/>
  <c r="AA44" i="39"/>
  <c r="AA46" i="39"/>
  <c r="W10" i="39"/>
  <c r="W11" i="39"/>
  <c r="W40" i="39"/>
  <c r="S32" i="40"/>
  <c r="C27" i="39"/>
  <c r="C17" i="40"/>
  <c r="C19" i="40"/>
  <c r="C17" i="39"/>
  <c r="C19" i="39"/>
  <c r="C21" i="39"/>
  <c r="B48" i="46"/>
  <c r="B51" i="46"/>
  <c r="B55" i="46"/>
  <c r="B59" i="46"/>
  <c r="B62" i="46"/>
  <c r="B66" i="46"/>
  <c r="B53" i="46"/>
  <c r="B64" i="46"/>
  <c r="D24" i="15"/>
  <c r="S14" i="36"/>
  <c r="AB20" i="36"/>
  <c r="AA20" i="36"/>
  <c r="AC14" i="36"/>
  <c r="W14" i="36"/>
  <c r="U14" i="36"/>
  <c r="AA26" i="35"/>
  <c r="S26" i="35"/>
  <c r="U26" i="35"/>
  <c r="W26" i="35"/>
  <c r="S19" i="37"/>
  <c r="W19" i="37"/>
  <c r="AB19" i="37"/>
  <c r="U19" i="37"/>
  <c r="AC17" i="37"/>
  <c r="U25" i="34"/>
  <c r="W25" i="34"/>
  <c r="AC25" i="34"/>
  <c r="U23" i="34"/>
  <c r="AC23" i="33"/>
  <c r="S23" i="33"/>
  <c r="AA23" i="33"/>
  <c r="S17" i="33"/>
  <c r="U17" i="33"/>
  <c r="AB17" i="33"/>
  <c r="U23" i="21"/>
  <c r="AB23" i="21"/>
  <c r="S23" i="21"/>
  <c r="U15" i="21"/>
  <c r="AB15" i="21"/>
  <c r="AC15" i="21"/>
  <c r="U39" i="40"/>
  <c r="AC39" i="40"/>
  <c r="W39" i="40"/>
  <c r="S39" i="40"/>
  <c r="AB37" i="40"/>
  <c r="AA37" i="40"/>
  <c r="S37" i="40"/>
  <c r="AB29" i="40"/>
  <c r="AC19" i="40"/>
  <c r="S19" i="40"/>
  <c r="AB19" i="40"/>
  <c r="U19" i="40"/>
  <c r="AC27" i="40"/>
  <c r="E5" i="6"/>
  <c r="D21" i="12" s="1"/>
  <c r="C21" i="12" s="1"/>
  <c r="AZ16" i="3"/>
  <c r="J18" i="36"/>
  <c r="W18" i="36" s="1"/>
  <c r="AE7" i="1"/>
  <c r="AE6" i="1"/>
  <c r="AC18" i="36"/>
  <c r="AG6" i="1"/>
  <c r="L20" i="6"/>
  <c r="L19" i="6"/>
  <c r="C45" i="9"/>
  <c r="H14" i="66" s="1"/>
  <c r="B7" i="66" s="1"/>
  <c r="K31" i="9"/>
  <c r="K32" i="9"/>
  <c r="H58" i="46"/>
  <c r="J17" i="46"/>
  <c r="G17" i="46" s="1"/>
  <c r="C16" i="46" s="1"/>
  <c r="C17" i="46"/>
  <c r="F34" i="46"/>
  <c r="F38" i="46"/>
  <c r="F37" i="46"/>
  <c r="H113" i="46"/>
  <c r="H49" i="46"/>
  <c r="H53"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G13" i="1"/>
  <c r="H70" i="46"/>
  <c r="H50" i="46"/>
  <c r="H48" i="46"/>
  <c r="F35" i="46"/>
  <c r="I17" i="46"/>
  <c r="H63" i="46"/>
  <c r="H64" i="46"/>
  <c r="H66" i="46"/>
  <c r="D100" i="46"/>
  <c r="H62" i="46"/>
  <c r="AF12" i="46"/>
  <c r="K100" i="46"/>
  <c r="AB12" i="46"/>
  <c r="AJ12" i="46"/>
  <c r="H60" i="46"/>
  <c r="H59" i="46"/>
  <c r="H65" i="46"/>
  <c r="E10" i="46"/>
  <c r="E9" i="46"/>
  <c r="E11" i="46"/>
  <c r="E8" i="46"/>
  <c r="H72" i="46"/>
  <c r="H77" i="46"/>
  <c r="H55" i="46"/>
  <c r="H54" i="46"/>
  <c r="H52" i="46"/>
  <c r="H47" i="46"/>
  <c r="AD12" i="46"/>
  <c r="AH12" i="46"/>
  <c r="G20" i="46"/>
  <c r="E41" i="46" s="1"/>
  <c r="C41" i="46" s="1"/>
  <c r="M8" i="1"/>
  <c r="O8" i="1" s="1"/>
  <c r="I7" i="34"/>
  <c r="G7" i="34"/>
  <c r="F7" i="1"/>
  <c r="F8" i="1"/>
  <c r="G8" i="1" s="1"/>
  <c r="C58" i="33"/>
  <c r="D58" i="33"/>
  <c r="E58" i="33" s="1"/>
  <c r="F58" i="33" s="1"/>
  <c r="G58" i="33" s="1"/>
  <c r="H58" i="33" s="1"/>
  <c r="I58" i="33" s="1"/>
  <c r="J58" i="33" s="1"/>
  <c r="K58" i="33" s="1"/>
  <c r="L58" i="33" s="1"/>
  <c r="M58" i="33" s="1"/>
  <c r="N58" i="33" s="1"/>
  <c r="O58" i="33" s="1"/>
  <c r="H7" i="33" s="1"/>
  <c r="I7" i="33"/>
  <c r="E7" i="33"/>
  <c r="G7" i="33"/>
  <c r="C42" i="1"/>
  <c r="C15" i="12" s="1"/>
  <c r="C7" i="75"/>
  <c r="C59" i="75" s="1"/>
  <c r="AB10" i="33"/>
  <c r="W17" i="34"/>
  <c r="G124" i="34"/>
  <c r="H124" i="34" s="1"/>
  <c r="I124" i="34" s="1"/>
  <c r="J124" i="34" s="1"/>
  <c r="K124" i="34" s="1"/>
  <c r="L124" i="34" s="1"/>
  <c r="M124" i="34" s="1"/>
  <c r="J43" i="34"/>
  <c r="W43" i="34" s="1"/>
  <c r="S39" i="34"/>
  <c r="W39" i="34"/>
  <c r="AA36" i="34"/>
  <c r="AC41" i="34"/>
  <c r="AA44" i="34"/>
  <c r="W15" i="34"/>
  <c r="U15" i="34"/>
  <c r="AP10" i="1"/>
  <c r="G10" i="1"/>
  <c r="P75" i="15"/>
  <c r="S32" i="33"/>
  <c r="H36" i="33"/>
  <c r="J36" i="33"/>
  <c r="AC36" i="33" s="1"/>
  <c r="H111" i="33"/>
  <c r="I111" i="33"/>
  <c r="J111" i="33" s="1"/>
  <c r="K111" i="33" s="1"/>
  <c r="L111" i="33" s="1"/>
  <c r="M111" i="33" s="1"/>
  <c r="F36" i="33"/>
  <c r="F101" i="33"/>
  <c r="G101" i="33" s="1"/>
  <c r="H101" i="33" s="1"/>
  <c r="I101" i="33" s="1"/>
  <c r="J101" i="33" s="1"/>
  <c r="K101" i="33" s="1"/>
  <c r="L101" i="33" s="1"/>
  <c r="M101" i="33" s="1"/>
  <c r="H32" i="33"/>
  <c r="AB32" i="33" s="1"/>
  <c r="J32" i="33"/>
  <c r="AC32" i="33" s="1"/>
  <c r="W40" i="33"/>
  <c r="W38" i="33"/>
  <c r="W41" i="33"/>
  <c r="AB41" i="33"/>
  <c r="S39" i="33"/>
  <c r="AC37" i="33"/>
  <c r="AC35" i="33"/>
  <c r="W34" i="33"/>
  <c r="S35" i="33"/>
  <c r="U32" i="33"/>
  <c r="S28" i="33"/>
  <c r="AC28" i="33"/>
  <c r="AC25" i="33"/>
  <c r="U25" i="33"/>
  <c r="U27" i="33"/>
  <c r="AB27" i="33"/>
  <c r="W26" i="33"/>
  <c r="AC26" i="33"/>
  <c r="AA27" i="33"/>
  <c r="U19" i="33"/>
  <c r="AB15" i="33"/>
  <c r="S9" i="33"/>
  <c r="W13" i="33"/>
  <c r="AC13" i="33"/>
  <c r="H13" i="33"/>
  <c r="AB13" i="33" s="1"/>
  <c r="A30" i="51"/>
  <c r="B22" i="63" s="1"/>
  <c r="A30" i="64"/>
  <c r="S29" i="39"/>
  <c r="U42" i="39"/>
  <c r="W42" i="39"/>
  <c r="U21" i="39"/>
  <c r="AB38" i="39"/>
  <c r="AC33" i="39"/>
  <c r="S31" i="39"/>
  <c r="AB29" i="39"/>
  <c r="AC31" i="39"/>
  <c r="W25" i="39"/>
  <c r="S25" i="39"/>
  <c r="S23" i="39"/>
  <c r="S40" i="39"/>
  <c r="F9" i="34"/>
  <c r="AA9" i="34" s="1"/>
  <c r="AB8" i="34"/>
  <c r="W8" i="34"/>
  <c r="AB38" i="34"/>
  <c r="AB36" i="34"/>
  <c r="AC35" i="34"/>
  <c r="AA25" i="34"/>
  <c r="S28" i="34"/>
  <c r="AA28" i="34"/>
  <c r="AA27" i="34"/>
  <c r="AC13" i="34"/>
  <c r="S13" i="34"/>
  <c r="W43" i="39"/>
  <c r="W41" i="39"/>
  <c r="W36" i="39"/>
  <c r="S38" i="39"/>
  <c r="U36" i="39"/>
  <c r="U47" i="39"/>
  <c r="AC47" i="39"/>
  <c r="AC38" i="39"/>
  <c r="AC17" i="39"/>
  <c r="BL13" i="3"/>
  <c r="H22" i="46"/>
  <c r="K101" i="46"/>
  <c r="K107" i="46" s="1"/>
  <c r="A18" i="51"/>
  <c r="B14" i="63" s="1"/>
  <c r="K5" i="54"/>
  <c r="B38" i="63" s="1"/>
  <c r="A18" i="64"/>
  <c r="B74" i="63"/>
  <c r="C53" i="10"/>
  <c r="A25" i="51" s="1"/>
  <c r="B18" i="63" s="1"/>
  <c r="L5" i="54"/>
  <c r="B39" i="63" s="1"/>
  <c r="T41" i="4"/>
  <c r="A17" i="64" s="1"/>
  <c r="K17" i="4"/>
  <c r="A22" i="51" s="1"/>
  <c r="B16" i="63" s="1"/>
  <c r="N76" i="9"/>
  <c r="L76" i="9"/>
  <c r="K76" i="9"/>
  <c r="K77" i="9" s="1"/>
  <c r="K79" i="9" s="1"/>
  <c r="K81" i="9" s="1"/>
  <c r="D23" i="15"/>
  <c r="D70" i="39"/>
  <c r="C72" i="39"/>
  <c r="D65" i="40"/>
  <c r="E65" i="40" s="1"/>
  <c r="F65" i="40" s="1"/>
  <c r="F67" i="40" s="1"/>
  <c r="C18" i="11"/>
  <c r="F31" i="15"/>
  <c r="F33" i="44"/>
  <c r="X8" i="59"/>
  <c r="Y8" i="59"/>
  <c r="Z8" i="59" s="1"/>
  <c r="Y3" i="59"/>
  <c r="Z3" i="59" s="1"/>
  <c r="AB9" i="59"/>
  <c r="AA9" i="59"/>
  <c r="Y9" i="59"/>
  <c r="Z9" i="59" s="1"/>
  <c r="P22" i="46"/>
  <c r="P24" i="46"/>
  <c r="B68" i="40" s="1"/>
  <c r="P23" i="46"/>
  <c r="P25" i="46"/>
  <c r="P21" i="46"/>
  <c r="B73" i="39" s="1"/>
  <c r="F58" i="15"/>
  <c r="M17" i="15"/>
  <c r="G7" i="1"/>
  <c r="AP7" i="1"/>
  <c r="D59" i="75"/>
  <c r="E59" i="75" s="1"/>
  <c r="F59" i="75" s="1"/>
  <c r="G59" i="75" s="1"/>
  <c r="H59" i="75" s="1"/>
  <c r="I59" i="75" s="1"/>
  <c r="J59" i="75" s="1"/>
  <c r="K59" i="75" s="1"/>
  <c r="L59" i="75" s="1"/>
  <c r="M59" i="75" s="1"/>
  <c r="N59" i="75" s="1"/>
  <c r="O59" i="75" s="1"/>
  <c r="G7" i="75"/>
  <c r="AC43" i="34"/>
  <c r="S36" i="33"/>
  <c r="AA36" i="33"/>
  <c r="AB36" i="33"/>
  <c r="U36" i="33"/>
  <c r="U13" i="33"/>
  <c r="A3" i="55"/>
  <c r="B56" i="63" s="1"/>
  <c r="A25" i="64"/>
  <c r="D72" i="39"/>
  <c r="E70" i="39"/>
  <c r="M19" i="44"/>
  <c r="AT6" i="3"/>
  <c r="F70" i="39"/>
  <c r="G70" i="39" s="1"/>
  <c r="H70" i="39" s="1"/>
  <c r="H72" i="39" s="1"/>
  <c r="E72" i="39"/>
  <c r="E67" i="40"/>
  <c r="D77" i="9"/>
  <c r="N75" i="9" s="1"/>
  <c r="I70" i="39"/>
  <c r="I72" i="39" s="1"/>
  <c r="L46" i="15"/>
  <c r="J17" i="44"/>
  <c r="L48" i="15"/>
  <c r="E14" i="67"/>
  <c r="M23" i="15"/>
  <c r="M22" i="15"/>
  <c r="B11" i="67"/>
  <c r="E7" i="67"/>
  <c r="J7" i="65"/>
  <c r="F28" i="44"/>
  <c r="F42" i="15"/>
  <c r="F8" i="67"/>
  <c r="I3" i="65"/>
  <c r="F40" i="15"/>
  <c r="B9" i="67"/>
  <c r="M25" i="44"/>
  <c r="N7" i="65"/>
  <c r="N6" i="65"/>
  <c r="E9" i="67"/>
  <c r="B14" i="67"/>
  <c r="J4" i="65"/>
  <c r="B7" i="67"/>
  <c r="F14" i="67"/>
  <c r="I6" i="65"/>
  <c r="B13" i="67"/>
  <c r="E12" i="67"/>
  <c r="B12" i="67"/>
  <c r="N5" i="65"/>
  <c r="E13" i="67"/>
  <c r="J5" i="65"/>
  <c r="B8" i="67"/>
  <c r="I7" i="65"/>
  <c r="F11" i="67"/>
  <c r="I5" i="65"/>
  <c r="E10" i="67"/>
  <c r="B10" i="67"/>
  <c r="N3" i="65"/>
  <c r="F11" i="44"/>
  <c r="F6" i="15"/>
  <c r="J3" i="65"/>
  <c r="F39" i="44"/>
  <c r="F12" i="67"/>
  <c r="F9" i="67"/>
  <c r="I4" i="65"/>
  <c r="F45" i="44"/>
  <c r="F26" i="15"/>
  <c r="N4" i="65"/>
  <c r="M29" i="44"/>
  <c r="F36" i="15"/>
  <c r="F40" i="44"/>
  <c r="L47" i="15"/>
  <c r="M11" i="44"/>
  <c r="M27" i="15"/>
  <c r="M10" i="44"/>
  <c r="F9" i="15"/>
  <c r="E8" i="67"/>
  <c r="F38" i="15"/>
  <c r="J6" i="65"/>
  <c r="M28" i="15"/>
  <c r="F13" i="67"/>
  <c r="F38" i="44"/>
  <c r="M26" i="44"/>
  <c r="F10" i="67"/>
  <c r="F15" i="44"/>
  <c r="E11" i="67"/>
  <c r="M30" i="44"/>
  <c r="F7" i="67"/>
  <c r="M29" i="15"/>
  <c r="J15" i="39" l="1"/>
  <c r="AB17" i="39"/>
  <c r="S15" i="39"/>
  <c r="K5" i="3"/>
  <c r="H34" i="34"/>
  <c r="AB34" i="34" s="1"/>
  <c r="W34" i="34"/>
  <c r="AC34" i="34"/>
  <c r="K6" i="1"/>
  <c r="M6" i="1" s="1"/>
  <c r="O6" i="1" s="1"/>
  <c r="P6" i="1" s="1"/>
  <c r="H13" i="3"/>
  <c r="E8" i="6"/>
  <c r="E53" i="40" s="1"/>
  <c r="C9" i="12"/>
  <c r="F34" i="34"/>
  <c r="L27" i="6"/>
  <c r="S14" i="21"/>
  <c r="AA14" i="21"/>
  <c r="U28" i="21"/>
  <c r="AB28" i="21"/>
  <c r="AB17" i="34"/>
  <c r="U17" i="34"/>
  <c r="AB12" i="34"/>
  <c r="U12" i="34"/>
  <c r="W14" i="34"/>
  <c r="AC14" i="34"/>
  <c r="S30" i="34"/>
  <c r="AA30" i="34"/>
  <c r="AB32" i="34"/>
  <c r="U32" i="34"/>
  <c r="AA46" i="34"/>
  <c r="S46" i="34"/>
  <c r="AA13" i="35"/>
  <c r="S13" i="35"/>
  <c r="U33" i="39"/>
  <c r="AB33" i="39"/>
  <c r="AB39" i="39"/>
  <c r="U39" i="39"/>
  <c r="S29" i="40"/>
  <c r="AA29" i="40"/>
  <c r="AZ559" i="3"/>
  <c r="AZ546" i="3"/>
  <c r="AA43" i="34"/>
  <c r="S43" i="34"/>
  <c r="AA10" i="34"/>
  <c r="S10" i="34"/>
  <c r="U33" i="36"/>
  <c r="AB33" i="36"/>
  <c r="AB13" i="37"/>
  <c r="U13" i="37"/>
  <c r="AA14" i="39"/>
  <c r="S14" i="39"/>
  <c r="AA16" i="39"/>
  <c r="S16" i="39"/>
  <c r="AZ511" i="3"/>
  <c r="AZ482" i="3"/>
  <c r="C20" i="46"/>
  <c r="E29" i="6"/>
  <c r="K15" i="1" s="1"/>
  <c r="G30" i="6"/>
  <c r="AZ506" i="3"/>
  <c r="AZ518" i="3"/>
  <c r="AZ565" i="3"/>
  <c r="AZ567" i="3"/>
  <c r="AZ379" i="3"/>
  <c r="AZ300" i="3"/>
  <c r="AZ502" i="3"/>
  <c r="F12" i="21"/>
  <c r="H12" i="21"/>
  <c r="F37" i="33"/>
  <c r="E113" i="33"/>
  <c r="F113" i="33" s="1"/>
  <c r="G113" i="33" s="1"/>
  <c r="H113" i="33" s="1"/>
  <c r="I113" i="33" s="1"/>
  <c r="J113" i="33" s="1"/>
  <c r="K113" i="33" s="1"/>
  <c r="L113" i="33" s="1"/>
  <c r="M113" i="33" s="1"/>
  <c r="AA31" i="35"/>
  <c r="S31" i="35"/>
  <c r="F72" i="39"/>
  <c r="W36" i="33"/>
  <c r="AP8" i="1"/>
  <c r="S17" i="39"/>
  <c r="AA14" i="34"/>
  <c r="W9" i="34"/>
  <c r="S9" i="34"/>
  <c r="AC33" i="34"/>
  <c r="AC40" i="34"/>
  <c r="AB25" i="39"/>
  <c r="W29" i="39"/>
  <c r="S39" i="39"/>
  <c r="W9" i="33"/>
  <c r="W17" i="33"/>
  <c r="AB23" i="33"/>
  <c r="AA25" i="33"/>
  <c r="AA41" i="33"/>
  <c r="AA33" i="34"/>
  <c r="W44" i="34"/>
  <c r="AB35" i="34"/>
  <c r="H43" i="34"/>
  <c r="W10" i="33"/>
  <c r="H76" i="46"/>
  <c r="H69" i="46"/>
  <c r="H75" i="46"/>
  <c r="H74" i="46"/>
  <c r="H73" i="46"/>
  <c r="AB18" i="36"/>
  <c r="C23" i="40"/>
  <c r="AB43" i="39"/>
  <c r="S34" i="40"/>
  <c r="AA15" i="21"/>
  <c r="S26" i="33"/>
  <c r="U33" i="37"/>
  <c r="S24" i="35"/>
  <c r="U24" i="35"/>
  <c r="AA13" i="36"/>
  <c r="AA22" i="36"/>
  <c r="AA32" i="36"/>
  <c r="W11" i="35"/>
  <c r="E69" i="46"/>
  <c r="B67" i="46" s="1"/>
  <c r="BA13" i="3"/>
  <c r="U41" i="39"/>
  <c r="AB15" i="39"/>
  <c r="AC19" i="39"/>
  <c r="W21" i="40"/>
  <c r="J29" i="40"/>
  <c r="S38" i="40"/>
  <c r="W42" i="40"/>
  <c r="AA21" i="40"/>
  <c r="S15" i="40"/>
  <c r="U15" i="40"/>
  <c r="W44" i="21"/>
  <c r="W17" i="21"/>
  <c r="W28" i="21"/>
  <c r="AA37" i="21"/>
  <c r="S44" i="21"/>
  <c r="AB41" i="34"/>
  <c r="W10" i="34"/>
  <c r="F23" i="34"/>
  <c r="J23" i="34"/>
  <c r="U34" i="34"/>
  <c r="AA12" i="34"/>
  <c r="S32" i="34"/>
  <c r="S40" i="37"/>
  <c r="U8" i="37"/>
  <c r="W32" i="37"/>
  <c r="S15" i="37"/>
  <c r="AA32" i="37"/>
  <c r="AA9" i="37"/>
  <c r="AB9" i="37"/>
  <c r="AB14" i="35"/>
  <c r="U22" i="35"/>
  <c r="AA26" i="36"/>
  <c r="U20" i="35"/>
  <c r="AC16" i="35"/>
  <c r="F17" i="34"/>
  <c r="U11" i="36"/>
  <c r="U30" i="40"/>
  <c r="U27" i="39"/>
  <c r="S41" i="40"/>
  <c r="W34" i="40"/>
  <c r="U29" i="33"/>
  <c r="AC30" i="34"/>
  <c r="AB37" i="39"/>
  <c r="U41" i="40"/>
  <c r="H34" i="40"/>
  <c r="J27" i="39"/>
  <c r="F27" i="39"/>
  <c r="J16" i="39"/>
  <c r="H16" i="39"/>
  <c r="J14" i="39"/>
  <c r="H14" i="39"/>
  <c r="F23" i="35"/>
  <c r="AZ489" i="3"/>
  <c r="G494" i="3"/>
  <c r="AZ523" i="3"/>
  <c r="H27" i="34"/>
  <c r="J32" i="34"/>
  <c r="H14" i="34"/>
  <c r="AB39" i="34"/>
  <c r="AC8" i="33"/>
  <c r="AC29" i="37"/>
  <c r="AB17" i="37"/>
  <c r="AA36" i="35"/>
  <c r="AA43" i="21"/>
  <c r="AZ338" i="3"/>
  <c r="AZ322" i="3"/>
  <c r="AZ299" i="3"/>
  <c r="AZ377" i="3"/>
  <c r="U12" i="37"/>
  <c r="S10" i="35"/>
  <c r="AC45" i="33"/>
  <c r="W23" i="35"/>
  <c r="AC33" i="36"/>
  <c r="BL500" i="3"/>
  <c r="AZ500" i="3" s="1"/>
  <c r="BL510" i="3"/>
  <c r="BL538" i="3"/>
  <c r="AZ538" i="3" s="1"/>
  <c r="BL556" i="3"/>
  <c r="AZ556" i="3" s="1"/>
  <c r="BL560" i="3"/>
  <c r="AZ560" i="3" s="1"/>
  <c r="AZ492" i="3"/>
  <c r="AZ520" i="3"/>
  <c r="AZ544" i="3"/>
  <c r="AZ493" i="3"/>
  <c r="AC13" i="36"/>
  <c r="AC14" i="21"/>
  <c r="S46" i="21"/>
  <c r="J13" i="37"/>
  <c r="F13" i="37"/>
  <c r="H13" i="35"/>
  <c r="J13" i="35"/>
  <c r="F45" i="33"/>
  <c r="J30" i="21"/>
  <c r="F28" i="21"/>
  <c r="H14" i="21"/>
  <c r="H37" i="33"/>
  <c r="S8" i="21"/>
  <c r="W31" i="35"/>
  <c r="W40" i="21"/>
  <c r="AC40" i="21"/>
  <c r="BF5" i="3"/>
  <c r="B73" i="46"/>
  <c r="C29" i="39"/>
  <c r="AB38" i="33"/>
  <c r="U38" i="33"/>
  <c r="H9" i="34"/>
  <c r="E118" i="34"/>
  <c r="F118" i="34" s="1"/>
  <c r="G118" i="34" s="1"/>
  <c r="F40" i="34"/>
  <c r="H12" i="33"/>
  <c r="J12" i="33"/>
  <c r="J34" i="35"/>
  <c r="H34" i="35"/>
  <c r="F34" i="35"/>
  <c r="W27" i="35"/>
  <c r="AC27" i="35"/>
  <c r="AB22" i="36"/>
  <c r="U22" i="36"/>
  <c r="J23" i="36"/>
  <c r="H23" i="36"/>
  <c r="F23" i="36"/>
  <c r="W31" i="36"/>
  <c r="AC31" i="36"/>
  <c r="AB34" i="37"/>
  <c r="U34" i="37"/>
  <c r="G553" i="3"/>
  <c r="G527" i="3"/>
  <c r="G481" i="3"/>
  <c r="C7" i="46"/>
  <c r="AZ512" i="3"/>
  <c r="AZ562" i="3"/>
  <c r="U40" i="34"/>
  <c r="AB40" i="34"/>
  <c r="G67" i="34"/>
  <c r="H67" i="34" s="1"/>
  <c r="I67" i="34" s="1"/>
  <c r="H10" i="34"/>
  <c r="H9" i="35"/>
  <c r="F9" i="35"/>
  <c r="AC41" i="21"/>
  <c r="W41" i="21"/>
  <c r="BA570" i="3"/>
  <c r="AZ570" i="3" s="1"/>
  <c r="G569" i="3"/>
  <c r="G564" i="3"/>
  <c r="G555" i="3"/>
  <c r="G543" i="3"/>
  <c r="G535" i="3"/>
  <c r="G528" i="3"/>
  <c r="G520" i="3"/>
  <c r="G511" i="3"/>
  <c r="G500" i="3"/>
  <c r="G490" i="3"/>
  <c r="G482" i="3"/>
  <c r="G15" i="3"/>
  <c r="Q391" i="31"/>
  <c r="Q389" i="31"/>
  <c r="Q387" i="31"/>
  <c r="Q385" i="31"/>
  <c r="Q383" i="31"/>
  <c r="Q381" i="31"/>
  <c r="Q379" i="31"/>
  <c r="Q377" i="31"/>
  <c r="Q375" i="31"/>
  <c r="Q373" i="31"/>
  <c r="Q371" i="31"/>
  <c r="Q369" i="31"/>
  <c r="Q367" i="31"/>
  <c r="Q365" i="31"/>
  <c r="Q363" i="31"/>
  <c r="Q361" i="31"/>
  <c r="Q359" i="31"/>
  <c r="Q357" i="31"/>
  <c r="Q355" i="31"/>
  <c r="Q353" i="31"/>
  <c r="Q351" i="31"/>
  <c r="Q349" i="31"/>
  <c r="Q347" i="31"/>
  <c r="Q345" i="31"/>
  <c r="Q343" i="31"/>
  <c r="Q341" i="31"/>
  <c r="Q339" i="31"/>
  <c r="Q337" i="31"/>
  <c r="Q335" i="31"/>
  <c r="Q333" i="31"/>
  <c r="Q331" i="31"/>
  <c r="Q329" i="31"/>
  <c r="Q327" i="31"/>
  <c r="Q325" i="31"/>
  <c r="Q323" i="31"/>
  <c r="Q321" i="31"/>
  <c r="Q319" i="31"/>
  <c r="Q317" i="31"/>
  <c r="Q315" i="31"/>
  <c r="Q313" i="31"/>
  <c r="Q311" i="31"/>
  <c r="Q309" i="31"/>
  <c r="Q307" i="31"/>
  <c r="Q305" i="31"/>
  <c r="Q303" i="31"/>
  <c r="Q301" i="31"/>
  <c r="Q299" i="31"/>
  <c r="Q297" i="31"/>
  <c r="Q295" i="31"/>
  <c r="Q293" i="31"/>
  <c r="Q291" i="31"/>
  <c r="Q289" i="31"/>
  <c r="Q287" i="31"/>
  <c r="Q285" i="31"/>
  <c r="Q283" i="31"/>
  <c r="Q281" i="31"/>
  <c r="Q279"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213" i="31"/>
  <c r="Q211" i="31"/>
  <c r="Q209" i="31"/>
  <c r="Q207" i="31"/>
  <c r="Q205" i="31"/>
  <c r="Q203" i="31"/>
  <c r="Q201" i="31"/>
  <c r="Q199" i="31"/>
  <c r="Q197" i="31"/>
  <c r="Q195" i="31"/>
  <c r="Q193" i="31"/>
  <c r="Q191" i="31"/>
  <c r="Q189" i="31"/>
  <c r="Q187" i="31"/>
  <c r="Q185" i="31"/>
  <c r="Q183" i="31"/>
  <c r="Q181" i="31"/>
  <c r="Q179" i="31"/>
  <c r="Q177" i="31"/>
  <c r="Q175" i="31"/>
  <c r="Q173" i="31"/>
  <c r="Q171" i="31"/>
  <c r="Q169" i="31"/>
  <c r="Q167" i="31"/>
  <c r="Q165" i="31"/>
  <c r="Q163" i="31"/>
  <c r="Q161" i="31"/>
  <c r="Q159" i="31"/>
  <c r="Q157" i="31"/>
  <c r="Q155" i="31"/>
  <c r="Q153" i="31"/>
  <c r="Q151" i="31"/>
  <c r="Q149" i="31"/>
  <c r="Q147" i="31"/>
  <c r="Q145" i="31"/>
  <c r="Q143" i="31"/>
  <c r="Q141" i="31"/>
  <c r="Q139" i="31"/>
  <c r="Q137" i="31"/>
  <c r="Q135" i="31"/>
  <c r="Q133" i="31"/>
  <c r="Q131" i="31"/>
  <c r="Q129" i="31"/>
  <c r="Q127" i="31"/>
  <c r="Q125" i="31"/>
  <c r="Q123" i="31"/>
  <c r="Q121" i="31"/>
  <c r="Q119" i="31"/>
  <c r="Q117" i="31"/>
  <c r="Q115" i="31"/>
  <c r="Q113" i="31"/>
  <c r="Q111" i="31"/>
  <c r="Q109" i="31"/>
  <c r="Q107" i="31"/>
  <c r="Q105" i="31"/>
  <c r="Q103" i="31"/>
  <c r="Q101" i="31"/>
  <c r="Q99" i="31"/>
  <c r="Q97" i="31"/>
  <c r="Q95" i="31"/>
  <c r="Q93" i="31"/>
  <c r="Q91" i="31"/>
  <c r="Q89" i="31"/>
  <c r="Q87" i="31"/>
  <c r="Q85" i="31"/>
  <c r="Q83" i="31"/>
  <c r="Q81" i="31"/>
  <c r="Q79" i="31"/>
  <c r="Q77" i="31"/>
  <c r="Q75" i="31"/>
  <c r="Q73" i="31"/>
  <c r="Q71" i="31"/>
  <c r="Q69" i="31"/>
  <c r="Q67" i="31"/>
  <c r="Q65" i="31"/>
  <c r="Q63" i="31"/>
  <c r="Q61" i="31"/>
  <c r="Q59" i="31"/>
  <c r="Q57" i="31"/>
  <c r="Q55" i="31"/>
  <c r="Q53" i="31"/>
  <c r="Q51" i="31"/>
  <c r="Q49" i="31"/>
  <c r="Q47" i="31"/>
  <c r="Q45" i="31"/>
  <c r="Q43" i="31"/>
  <c r="Q41" i="31"/>
  <c r="Q39" i="31"/>
  <c r="Q37" i="31"/>
  <c r="Q35" i="31"/>
  <c r="Q33" i="31"/>
  <c r="Q31" i="31"/>
  <c r="C18" i="9"/>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A423" i="3"/>
  <c r="AZ423" i="3" s="1"/>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A27" i="40"/>
  <c r="S27" i="40"/>
  <c r="AA21" i="21"/>
  <c r="S21" i="21"/>
  <c r="F21" i="34"/>
  <c r="J21" i="34"/>
  <c r="H21" i="34"/>
  <c r="AA18" i="36"/>
  <c r="S18" i="36"/>
  <c r="N61" i="59"/>
  <c r="S61" i="59"/>
  <c r="P60" i="59"/>
  <c r="E59" i="59"/>
  <c r="T65" i="59"/>
  <c r="C64" i="59"/>
  <c r="D65" i="59"/>
  <c r="T73" i="59"/>
  <c r="C72" i="59"/>
  <c r="D73" i="59"/>
  <c r="B21" i="59"/>
  <c r="B20" i="59" s="1"/>
  <c r="B19" i="59" s="1"/>
  <c r="X21" i="59"/>
  <c r="E21" i="59"/>
  <c r="U21" i="59" s="1"/>
  <c r="AA20" i="59"/>
  <c r="AA18" i="59"/>
  <c r="AC25" i="75"/>
  <c r="AB31" i="75"/>
  <c r="U31" i="75"/>
  <c r="AA35" i="75"/>
  <c r="S35" i="75"/>
  <c r="AA36" i="75"/>
  <c r="S36" i="75"/>
  <c r="AB39" i="75"/>
  <c r="U39" i="75"/>
  <c r="AB40" i="75"/>
  <c r="U40" i="75"/>
  <c r="AB41" i="75"/>
  <c r="U41" i="75"/>
  <c r="AB42" i="75"/>
  <c r="U42" i="75"/>
  <c r="AB43" i="75"/>
  <c r="U43" i="75"/>
  <c r="AA46" i="75"/>
  <c r="S46" i="75"/>
  <c r="AZ400" i="3"/>
  <c r="AZ421" i="3"/>
  <c r="AZ443" i="3"/>
  <c r="AZ447" i="3"/>
  <c r="AZ462" i="3"/>
  <c r="AZ465" i="3"/>
  <c r="AZ478" i="3"/>
  <c r="AZ387" i="3"/>
  <c r="AZ216" i="3"/>
  <c r="AZ232" i="3"/>
  <c r="AZ235" i="3"/>
  <c r="AZ248" i="3"/>
  <c r="AZ264" i="3"/>
  <c r="AZ267" i="3"/>
  <c r="C53" i="59"/>
  <c r="D52" i="59"/>
  <c r="A26" i="51"/>
  <c r="B19" i="63" s="1"/>
  <c r="A26" i="64"/>
  <c r="AA10" i="46"/>
  <c r="AA12" i="46"/>
  <c r="C25" i="31"/>
  <c r="B22" i="31"/>
  <c r="P75" i="74"/>
  <c r="P62" i="74"/>
  <c r="AC23" i="75"/>
  <c r="W23" i="75"/>
  <c r="AA25" i="75"/>
  <c r="S25" i="75"/>
  <c r="C34" i="75"/>
  <c r="F20" i="6"/>
  <c r="E20" i="6"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AZ168" i="3" s="1"/>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4" i="3"/>
  <c r="AZ54" i="3" s="1"/>
  <c r="BL56" i="3"/>
  <c r="AZ56" i="3" s="1"/>
  <c r="BA57" i="3"/>
  <c r="AZ57" i="3" s="1"/>
  <c r="BL59" i="3"/>
  <c r="AZ59" i="3" s="1"/>
  <c r="G61" i="3"/>
  <c r="BL61" i="3"/>
  <c r="G63" i="3"/>
  <c r="G64" i="3"/>
  <c r="BL64" i="3"/>
  <c r="AZ64" i="3" s="1"/>
  <c r="G66" i="3"/>
  <c r="G67" i="3"/>
  <c r="BL67" i="3"/>
  <c r="G69" i="3"/>
  <c r="BL69" i="3"/>
  <c r="BL71" i="3"/>
  <c r="AZ71" i="3" s="1"/>
  <c r="G73" i="3"/>
  <c r="BL73" i="3"/>
  <c r="G76" i="3"/>
  <c r="BL76" i="3"/>
  <c r="AZ76" i="3" s="1"/>
  <c r="BA77" i="3"/>
  <c r="AZ77" i="3" s="1"/>
  <c r="BA78" i="3"/>
  <c r="AZ78" i="3" s="1"/>
  <c r="BA79" i="3"/>
  <c r="AZ79" i="3" s="1"/>
  <c r="G82" i="3"/>
  <c r="G83" i="3"/>
  <c r="BL83" i="3"/>
  <c r="AZ83" i="3" s="1"/>
  <c r="BA85" i="3"/>
  <c r="AZ85" i="3" s="1"/>
  <c r="BA86" i="3"/>
  <c r="AZ86" i="3" s="1"/>
  <c r="G89" i="3"/>
  <c r="BL89" i="3"/>
  <c r="AZ89" i="3" s="1"/>
  <c r="BL91" i="3"/>
  <c r="AZ91"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R12" i="1"/>
  <c r="K12" i="1"/>
  <c r="M12" i="1" s="1"/>
  <c r="B65" i="46"/>
  <c r="C31" i="39"/>
  <c r="O59" i="59"/>
  <c r="O58" i="59"/>
  <c r="C23" i="59"/>
  <c r="Y21" i="59"/>
  <c r="Z21" i="59" s="1"/>
  <c r="X26" i="59"/>
  <c r="X27" i="59"/>
  <c r="X28" i="59"/>
  <c r="X29" i="59"/>
  <c r="Y30" i="59"/>
  <c r="Z30" i="59" s="1"/>
  <c r="C31" i="59"/>
  <c r="D43" i="59"/>
  <c r="C44" i="59"/>
  <c r="F59" i="59"/>
  <c r="Q59" i="59" s="1"/>
  <c r="Q60" i="59"/>
  <c r="AI10" i="46"/>
  <c r="AI12" i="46"/>
  <c r="C16" i="59"/>
  <c r="D17" i="59"/>
  <c r="E14" i="59"/>
  <c r="E13" i="59" s="1"/>
  <c r="Y19" i="59"/>
  <c r="Z19" i="59" s="1"/>
  <c r="AB18" i="59"/>
  <c r="B16" i="59"/>
  <c r="B15" i="59" s="1"/>
  <c r="B14" i="59" s="1"/>
  <c r="B13" i="59" s="1"/>
  <c r="B12" i="59" s="1"/>
  <c r="B11" i="59" s="1"/>
  <c r="B10" i="59" s="1"/>
  <c r="B9" i="59" s="1"/>
  <c r="S17" i="59"/>
  <c r="X3" i="59"/>
  <c r="AB15" i="75"/>
  <c r="U15" i="75"/>
  <c r="AC17" i="75"/>
  <c r="W17" i="75"/>
  <c r="AA21" i="75"/>
  <c r="S21" i="75"/>
  <c r="AB44" i="75"/>
  <c r="U44" i="75"/>
  <c r="AC46" i="75"/>
  <c r="W46" i="75"/>
  <c r="E80" i="75"/>
  <c r="F80" i="75" s="1"/>
  <c r="G80" i="75" s="1"/>
  <c r="H17" i="75"/>
  <c r="F17" i="75"/>
  <c r="E86" i="75"/>
  <c r="F86" i="75" s="1"/>
  <c r="G86" i="75" s="1"/>
  <c r="H23" i="75"/>
  <c r="AB23" i="75" s="1"/>
  <c r="F23" i="75"/>
  <c r="J29" i="75"/>
  <c r="F29" i="75"/>
  <c r="H29" i="75"/>
  <c r="J31" i="75"/>
  <c r="F31" i="75"/>
  <c r="E126" i="75"/>
  <c r="F126" i="75" s="1"/>
  <c r="G126" i="75" s="1"/>
  <c r="J44" i="75"/>
  <c r="F44" i="75"/>
  <c r="BA111" i="3"/>
  <c r="AZ111" i="3" s="1"/>
  <c r="BA112" i="3"/>
  <c r="AZ112" i="3" s="1"/>
  <c r="I10" i="57"/>
  <c r="D1" i="57" s="1"/>
  <c r="E10" i="57" s="1"/>
  <c r="P27" i="6"/>
  <c r="AA22" i="59"/>
  <c r="Y26" i="59"/>
  <c r="Z26" i="59" s="1"/>
  <c r="AB27" i="59"/>
  <c r="Y28" i="59"/>
  <c r="Z28" i="59" s="1"/>
  <c r="AB29" i="59"/>
  <c r="AA30" i="59"/>
  <c r="V27" i="1"/>
  <c r="J28" i="75"/>
  <c r="W28" i="75" s="1"/>
  <c r="F28" i="75"/>
  <c r="B15" i="52"/>
  <c r="B11" i="52"/>
  <c r="E20" i="69"/>
  <c r="E32" i="69" s="1"/>
  <c r="B9" i="52"/>
  <c r="E5" i="52"/>
  <c r="E10" i="52"/>
  <c r="E6" i="52"/>
  <c r="E8" i="52"/>
  <c r="B6" i="52"/>
  <c r="E13" i="52"/>
  <c r="E9" i="52"/>
  <c r="B7" i="52"/>
  <c r="G72" i="39"/>
  <c r="G65" i="40"/>
  <c r="D67" i="40"/>
  <c r="B14" i="52"/>
  <c r="B12" i="52"/>
  <c r="B5" i="52"/>
  <c r="B10" i="52"/>
  <c r="B8" i="52"/>
  <c r="E4" i="52"/>
  <c r="E7" i="52"/>
  <c r="E11" i="52"/>
  <c r="E4" i="4" s="1"/>
  <c r="B21" i="55" s="1"/>
  <c r="B72" i="63" s="1"/>
  <c r="E14" i="52"/>
  <c r="B4" i="52"/>
  <c r="C27" i="43"/>
  <c r="C25" i="12"/>
  <c r="G6" i="1"/>
  <c r="E7" i="34"/>
  <c r="F9" i="1"/>
  <c r="A9" i="64"/>
  <c r="C4" i="4"/>
  <c r="B20" i="55" s="1"/>
  <c r="B70" i="63" s="1"/>
  <c r="G101" i="46"/>
  <c r="G103" i="46" s="1"/>
  <c r="AF11" i="46"/>
  <c r="AF13" i="46" s="1"/>
  <c r="G31" i="6"/>
  <c r="K103" i="46"/>
  <c r="Z11" i="46"/>
  <c r="Z13" i="46" s="1"/>
  <c r="L101" i="46"/>
  <c r="L104" i="46" s="1"/>
  <c r="AJ11" i="46"/>
  <c r="AJ13" i="46" s="1"/>
  <c r="G22" i="46"/>
  <c r="AC11" i="46"/>
  <c r="AC13" i="46" s="1"/>
  <c r="N101" i="46"/>
  <c r="N104" i="46" s="1"/>
  <c r="Z7" i="46"/>
  <c r="C23" i="46"/>
  <c r="E22" i="46"/>
  <c r="I4" i="6"/>
  <c r="C11" i="33" s="1"/>
  <c r="AH11" i="46"/>
  <c r="AH13" i="46" s="1"/>
  <c r="AG11" i="46"/>
  <c r="AG13" i="46" s="1"/>
  <c r="E101" i="46"/>
  <c r="E103" i="46" s="1"/>
  <c r="B113" i="46"/>
  <c r="I118" i="46" s="1"/>
  <c r="J118" i="46" s="1"/>
  <c r="K118" i="46" s="1"/>
  <c r="L118" i="46" s="1"/>
  <c r="M118" i="46" s="1"/>
  <c r="C101" i="46"/>
  <c r="C102" i="46" s="1"/>
  <c r="S6" i="46" s="1"/>
  <c r="J22" i="46"/>
  <c r="D101" i="46"/>
  <c r="D105" i="46" s="1"/>
  <c r="M101" i="46"/>
  <c r="M105" i="46" s="1"/>
  <c r="N104" i="45"/>
  <c r="AA11" i="46"/>
  <c r="AB11" i="46"/>
  <c r="AB13" i="46" s="1"/>
  <c r="H101" i="46"/>
  <c r="H105" i="46" s="1"/>
  <c r="J101" i="46"/>
  <c r="J104" i="46" s="1"/>
  <c r="AE11" i="46"/>
  <c r="AE13" i="46" s="1"/>
  <c r="F101" i="46"/>
  <c r="AD11" i="46"/>
  <c r="AD13" i="46" s="1"/>
  <c r="AI11" i="46"/>
  <c r="AI13" i="46" s="1"/>
  <c r="I101" i="46"/>
  <c r="I104" i="46" s="1"/>
  <c r="F22" i="46"/>
  <c r="G13" i="3"/>
  <c r="G107" i="46"/>
  <c r="E58" i="39"/>
  <c r="K105" i="46"/>
  <c r="K102" i="46"/>
  <c r="E11" i="6"/>
  <c r="E63" i="39" s="1"/>
  <c r="W33" i="33"/>
  <c r="C106" i="46"/>
  <c r="H104" i="46"/>
  <c r="P8" i="1"/>
  <c r="C109" i="46"/>
  <c r="L58" i="21"/>
  <c r="M58" i="21" s="1"/>
  <c r="N58" i="21" s="1"/>
  <c r="O58" i="21" s="1"/>
  <c r="H7" i="21"/>
  <c r="F7" i="21"/>
  <c r="AB7" i="33"/>
  <c r="U7" i="33"/>
  <c r="S9" i="59"/>
  <c r="B8" i="59"/>
  <c r="B7" i="59" s="1"/>
  <c r="B6" i="59" s="1"/>
  <c r="B5" i="59" s="1"/>
  <c r="J7" i="21"/>
  <c r="F59" i="34"/>
  <c r="E28" i="6"/>
  <c r="F7" i="33"/>
  <c r="F12" i="59"/>
  <c r="F11" i="59" s="1"/>
  <c r="F10" i="59" s="1"/>
  <c r="F9" i="59" s="1"/>
  <c r="V13" i="59"/>
  <c r="E46" i="36"/>
  <c r="BA5" i="3"/>
  <c r="O11" i="1"/>
  <c r="P11" i="1" s="1"/>
  <c r="AZ510" i="3"/>
  <c r="E12" i="6"/>
  <c r="E15" i="6"/>
  <c r="E13" i="6"/>
  <c r="E14" i="6"/>
  <c r="E10" i="6"/>
  <c r="U12" i="33"/>
  <c r="AB12" i="33"/>
  <c r="H109" i="39"/>
  <c r="I109" i="39" s="1"/>
  <c r="J109" i="39" s="1"/>
  <c r="K109" i="39" s="1"/>
  <c r="L109" i="39" s="1"/>
  <c r="M109" i="39" s="1"/>
  <c r="F34" i="39"/>
  <c r="H34" i="39"/>
  <c r="J34" i="39"/>
  <c r="H112" i="34"/>
  <c r="I112" i="34" s="1"/>
  <c r="J112" i="34" s="1"/>
  <c r="K112" i="34" s="1"/>
  <c r="L112" i="34" s="1"/>
  <c r="M112" i="34" s="1"/>
  <c r="J37" i="34"/>
  <c r="H37" i="34"/>
  <c r="F37" i="34"/>
  <c r="J70" i="39"/>
  <c r="S7" i="46"/>
  <c r="H7" i="75"/>
  <c r="C5" i="46"/>
  <c r="D5" i="46"/>
  <c r="E58" i="40"/>
  <c r="AA42" i="33"/>
  <c r="S42" i="33"/>
  <c r="AB9" i="33"/>
  <c r="U9" i="33"/>
  <c r="E48" i="35"/>
  <c r="E52" i="37"/>
  <c r="A17" i="51"/>
  <c r="B13" i="63" s="1"/>
  <c r="K109" i="46"/>
  <c r="K106" i="46"/>
  <c r="K104" i="46"/>
  <c r="AZ13" i="3"/>
  <c r="E7" i="75"/>
  <c r="F7" i="75" s="1"/>
  <c r="I7" i="75"/>
  <c r="J7" i="75" s="1"/>
  <c r="J7" i="33"/>
  <c r="C28" i="15"/>
  <c r="C30" i="44"/>
  <c r="C15" i="43"/>
  <c r="C95" i="9"/>
  <c r="C92" i="9" s="1"/>
  <c r="F30" i="6"/>
  <c r="W32" i="33"/>
  <c r="O40" i="9"/>
  <c r="R7" i="54" s="1"/>
  <c r="B52" i="63" s="1"/>
  <c r="S13" i="59"/>
  <c r="D12" i="11"/>
  <c r="C12" i="11" s="1"/>
  <c r="H5" i="3"/>
  <c r="F34" i="76"/>
  <c r="F61" i="76" s="1"/>
  <c r="M20" i="76"/>
  <c r="F34" i="74"/>
  <c r="F61" i="74" s="1"/>
  <c r="M20" i="74"/>
  <c r="F34" i="15"/>
  <c r="F61" i="15" s="1"/>
  <c r="AZ396" i="3"/>
  <c r="AZ412" i="3"/>
  <c r="AZ419" i="3"/>
  <c r="F28" i="76"/>
  <c r="C28" i="76" s="1"/>
  <c r="M18" i="76"/>
  <c r="F32" i="76"/>
  <c r="F59" i="76" s="1"/>
  <c r="F32" i="74"/>
  <c r="F59" i="74" s="1"/>
  <c r="M18" i="74"/>
  <c r="F28" i="74"/>
  <c r="C28" i="74" s="1"/>
  <c r="AC23" i="37"/>
  <c r="H42" i="33"/>
  <c r="J42" i="33"/>
  <c r="W42" i="21"/>
  <c r="AB30" i="21"/>
  <c r="U30" i="33"/>
  <c r="AA39" i="37"/>
  <c r="AA12" i="33"/>
  <c r="C23" i="39"/>
  <c r="AC35" i="21"/>
  <c r="AA38" i="21"/>
  <c r="W8" i="21"/>
  <c r="U33" i="33"/>
  <c r="H9" i="21"/>
  <c r="J9" i="35"/>
  <c r="H36" i="35"/>
  <c r="J36" i="35"/>
  <c r="J9" i="36"/>
  <c r="H9" i="36"/>
  <c r="F9" i="36"/>
  <c r="J24" i="36"/>
  <c r="H24" i="36"/>
  <c r="H25" i="37"/>
  <c r="J25" i="37"/>
  <c r="F25" i="37"/>
  <c r="G540" i="3"/>
  <c r="G516" i="3"/>
  <c r="G504" i="3"/>
  <c r="G496" i="3"/>
  <c r="AZ389" i="3"/>
  <c r="AZ404" i="3"/>
  <c r="A2" i="55"/>
  <c r="B55" i="63" s="1"/>
  <c r="AZ424" i="3"/>
  <c r="AZ437" i="3"/>
  <c r="AZ451" i="3"/>
  <c r="AZ457" i="3"/>
  <c r="AZ470" i="3"/>
  <c r="AZ473" i="3"/>
  <c r="AZ318" i="3"/>
  <c r="AZ334" i="3"/>
  <c r="AZ350" i="3"/>
  <c r="AZ208" i="3"/>
  <c r="AZ211" i="3"/>
  <c r="AZ224" i="3"/>
  <c r="AZ227" i="3"/>
  <c r="AZ240" i="3"/>
  <c r="AZ243" i="3"/>
  <c r="AZ256" i="3"/>
  <c r="AZ259" i="3"/>
  <c r="AZ279" i="3"/>
  <c r="AZ291" i="3"/>
  <c r="AZ294" i="3"/>
  <c r="AZ113" i="3"/>
  <c r="AZ116" i="3"/>
  <c r="AZ129" i="3"/>
  <c r="AZ132" i="3"/>
  <c r="AZ271" i="3"/>
  <c r="AZ155" i="3"/>
  <c r="AZ171" i="3"/>
  <c r="AZ186" i="3"/>
  <c r="AZ194" i="3"/>
  <c r="AZ33" i="3"/>
  <c r="AZ49" i="3"/>
  <c r="AZ141" i="3"/>
  <c r="AZ144" i="3"/>
  <c r="D35" i="59"/>
  <c r="C36" i="59"/>
  <c r="C48" i="59"/>
  <c r="D47" i="59"/>
  <c r="C56" i="59"/>
  <c r="D55" i="59"/>
  <c r="AZ61" i="3"/>
  <c r="AZ67" i="3"/>
  <c r="AZ69" i="3"/>
  <c r="AZ73" i="3"/>
  <c r="AZ87" i="3"/>
  <c r="AZ93" i="3"/>
  <c r="AZ96" i="3"/>
  <c r="AZ103" i="3"/>
  <c r="AZ109" i="3"/>
  <c r="I21" i="57"/>
  <c r="K13" i="1"/>
  <c r="D39" i="59"/>
  <c r="AB19" i="59"/>
  <c r="AB3" i="59"/>
  <c r="AA21" i="59"/>
  <c r="AA19" i="59"/>
  <c r="AA3" i="59"/>
  <c r="X20" i="59"/>
  <c r="X18" i="59"/>
  <c r="X22" i="59"/>
  <c r="Y22" i="59"/>
  <c r="Z22" i="59" s="1"/>
  <c r="F23" i="59"/>
  <c r="F24" i="59" s="1"/>
  <c r="F25" i="59" s="1"/>
  <c r="V25" i="59" s="1"/>
  <c r="X23" i="59"/>
  <c r="AA23" i="59"/>
  <c r="X24" i="59"/>
  <c r="AA24" i="59"/>
  <c r="X25" i="59"/>
  <c r="AA25" i="59"/>
  <c r="B27" i="59"/>
  <c r="B28" i="59" s="1"/>
  <c r="B29" i="59" s="1"/>
  <c r="S29" i="59" s="1"/>
  <c r="C27" i="59"/>
  <c r="AA26" i="59"/>
  <c r="AB26" i="59"/>
  <c r="Y27" i="59"/>
  <c r="Z27" i="59" s="1"/>
  <c r="AB28" i="59"/>
  <c r="Y29" i="59"/>
  <c r="Z29" i="59" s="1"/>
  <c r="X30" i="59"/>
  <c r="E31" i="59"/>
  <c r="E32" i="59" s="1"/>
  <c r="E33" i="59" s="1"/>
  <c r="U33" i="59" s="1"/>
  <c r="F31" i="59"/>
  <c r="F32" i="59" s="1"/>
  <c r="F33" i="59" s="1"/>
  <c r="V33" i="59" s="1"/>
  <c r="X31" i="59"/>
  <c r="AA31" i="59"/>
  <c r="Q58" i="59"/>
  <c r="Y17" i="59"/>
  <c r="Z17" i="59" s="1"/>
  <c r="C21" i="59"/>
  <c r="F21" i="59"/>
  <c r="AB17" i="59"/>
  <c r="T17" i="59"/>
  <c r="X17" i="59"/>
  <c r="Y16" i="59"/>
  <c r="Z16" i="59" s="1"/>
  <c r="AB16" i="59"/>
  <c r="AA14" i="59"/>
  <c r="G1" i="76"/>
  <c r="G1" i="74"/>
  <c r="B54" i="46"/>
  <c r="C27" i="40"/>
  <c r="S18" i="35"/>
  <c r="S21" i="59"/>
  <c r="E20" i="59"/>
  <c r="E19" i="59" s="1"/>
  <c r="A28" i="64"/>
  <c r="AA16" i="59"/>
  <c r="AA11" i="59"/>
  <c r="X11" i="59"/>
  <c r="Y7" i="59"/>
  <c r="Z7" i="59" s="1"/>
  <c r="AB5" i="59"/>
  <c r="X16" i="59"/>
  <c r="Y11" i="59"/>
  <c r="Z11" i="59" s="1"/>
  <c r="AB11" i="59"/>
  <c r="AA8" i="59"/>
  <c r="X10" i="59"/>
  <c r="AA10" i="59"/>
  <c r="Y6" i="59"/>
  <c r="Z6" i="59" s="1"/>
  <c r="AA6" i="59"/>
  <c r="AB6" i="59"/>
  <c r="Y5" i="59"/>
  <c r="Z5" i="59" s="1"/>
  <c r="AA5" i="59"/>
  <c r="X5" i="59"/>
  <c r="U8" i="75"/>
  <c r="AB8" i="75"/>
  <c r="AA15" i="75"/>
  <c r="S15" i="75"/>
  <c r="AA19" i="75"/>
  <c r="S19" i="75"/>
  <c r="AA23" i="75"/>
  <c r="S23" i="75"/>
  <c r="AC28" i="75"/>
  <c r="AB28" i="75"/>
  <c r="AC32" i="75"/>
  <c r="W32" i="75"/>
  <c r="AB32" i="75"/>
  <c r="I55" i="75"/>
  <c r="J55" i="75" s="1"/>
  <c r="G55" i="75"/>
  <c r="H55" i="75" s="1"/>
  <c r="V48" i="75"/>
  <c r="J13" i="75"/>
  <c r="H13" i="75"/>
  <c r="F13" i="75"/>
  <c r="J45" i="75"/>
  <c r="H45" i="75"/>
  <c r="F45" i="75"/>
  <c r="J47" i="75"/>
  <c r="H47" i="75"/>
  <c r="F47" i="75"/>
  <c r="X14" i="59"/>
  <c r="AB8" i="59"/>
  <c r="X9" i="59"/>
  <c r="Y10" i="59"/>
  <c r="Z10" i="59" s="1"/>
  <c r="AB10" i="59"/>
  <c r="AA7" i="59"/>
  <c r="AB7" i="59"/>
  <c r="X7" i="59"/>
  <c r="X6" i="59"/>
  <c r="C32" i="69"/>
  <c r="G20" i="69"/>
  <c r="I17" i="69" s="1"/>
  <c r="J27" i="69"/>
  <c r="K17" i="69"/>
  <c r="W8" i="75"/>
  <c r="AC8" i="75"/>
  <c r="U23" i="75"/>
  <c r="AB25" i="75"/>
  <c r="U25" i="75"/>
  <c r="AA29" i="75"/>
  <c r="S29" i="75"/>
  <c r="AC33" i="75"/>
  <c r="W33" i="75"/>
  <c r="J27" i="75"/>
  <c r="H27" i="75"/>
  <c r="F27" i="75"/>
  <c r="H112" i="75"/>
  <c r="I112" i="75" s="1"/>
  <c r="J112" i="75" s="1"/>
  <c r="K112" i="75" s="1"/>
  <c r="L112" i="75" s="1"/>
  <c r="M112" i="75" s="1"/>
  <c r="J37" i="75"/>
  <c r="H37" i="75"/>
  <c r="F37" i="75"/>
  <c r="I18" i="69"/>
  <c r="G35" i="9"/>
  <c r="C43" i="9" s="1"/>
  <c r="K47" i="9" s="1"/>
  <c r="A14" i="55" s="1"/>
  <c r="B65" i="63" s="1"/>
  <c r="E3" i="67"/>
  <c r="J1" i="65"/>
  <c r="L58" i="15"/>
  <c r="L59" i="15"/>
  <c r="C29" i="44"/>
  <c r="B2" i="67"/>
  <c r="E4" i="67"/>
  <c r="E20" i="46"/>
  <c r="F65" i="15"/>
  <c r="J53" i="15"/>
  <c r="L56" i="15"/>
  <c r="J57" i="15"/>
  <c r="J55" i="15" s="1"/>
  <c r="J58" i="15" s="1"/>
  <c r="Q51" i="15" s="1"/>
  <c r="I54" i="15"/>
  <c r="J59" i="15"/>
  <c r="L60" i="15"/>
  <c r="J60" i="15"/>
  <c r="Q49" i="15" s="1"/>
  <c r="L57" i="15"/>
  <c r="F63" i="15"/>
  <c r="F67" i="15"/>
  <c r="C27" i="15"/>
  <c r="I1" i="65"/>
  <c r="C4" i="65"/>
  <c r="B39" i="1" s="1"/>
  <c r="F8" i="15"/>
  <c r="F43" i="15"/>
  <c r="L49" i="44"/>
  <c r="F37" i="15"/>
  <c r="M24" i="44"/>
  <c r="F18" i="44"/>
  <c r="F7" i="15"/>
  <c r="F10" i="44"/>
  <c r="M26" i="15"/>
  <c r="F9" i="44"/>
  <c r="M8" i="15"/>
  <c r="J15" i="15"/>
  <c r="M8" i="44"/>
  <c r="F43" i="44"/>
  <c r="M28" i="44"/>
  <c r="M6" i="15"/>
  <c r="F8" i="44"/>
  <c r="M9" i="15"/>
  <c r="L48" i="44"/>
  <c r="M24" i="15"/>
  <c r="J36" i="15"/>
  <c r="F16" i="15"/>
  <c r="M31" i="44"/>
  <c r="F13" i="15"/>
  <c r="E3" i="65"/>
  <c r="E2" i="65"/>
  <c r="AC15" i="39" l="1"/>
  <c r="W15" i="39"/>
  <c r="G106" i="46"/>
  <c r="E109" i="46"/>
  <c r="E104" i="46"/>
  <c r="H106" i="46"/>
  <c r="AA34" i="34"/>
  <c r="S34" i="34"/>
  <c r="N107" i="46"/>
  <c r="L107" i="46"/>
  <c r="N103" i="46"/>
  <c r="L105" i="46"/>
  <c r="N109" i="46"/>
  <c r="I105" i="46"/>
  <c r="E27" i="6"/>
  <c r="K24" i="6" s="1"/>
  <c r="M24" i="6" s="1"/>
  <c r="I24" i="6" s="1"/>
  <c r="S24" i="6" s="1"/>
  <c r="M106" i="46"/>
  <c r="M102" i="46"/>
  <c r="D22" i="46"/>
  <c r="C21" i="46" s="1"/>
  <c r="Q72" i="15"/>
  <c r="L59" i="44"/>
  <c r="Q75" i="44" s="1"/>
  <c r="L60" i="44"/>
  <c r="Q63" i="44" s="1"/>
  <c r="C8" i="44"/>
  <c r="C34" i="44" s="1"/>
  <c r="Q73" i="44"/>
  <c r="M9" i="44"/>
  <c r="J8" i="44" s="1"/>
  <c r="J20" i="44" s="1"/>
  <c r="M7" i="15"/>
  <c r="J6" i="15" s="1"/>
  <c r="J18" i="15" s="1"/>
  <c r="F49" i="15"/>
  <c r="F64" i="15"/>
  <c r="L57" i="44"/>
  <c r="J54" i="44"/>
  <c r="Q54" i="44" s="1"/>
  <c r="J60" i="44"/>
  <c r="I55" i="44"/>
  <c r="J58" i="44"/>
  <c r="J56" i="44" s="1"/>
  <c r="J59" i="44" s="1"/>
  <c r="Q52" i="44" s="1"/>
  <c r="J61" i="44"/>
  <c r="Q50" i="44" s="1"/>
  <c r="F70" i="15"/>
  <c r="C6" i="15"/>
  <c r="C33" i="15" s="1"/>
  <c r="F50" i="15"/>
  <c r="C48" i="15" s="1"/>
  <c r="AC44" i="75"/>
  <c r="W44" i="75"/>
  <c r="AA31" i="75"/>
  <c r="S31" i="75"/>
  <c r="AC29" i="75"/>
  <c r="W29" i="75"/>
  <c r="AA17" i="75"/>
  <c r="S17" i="75"/>
  <c r="E12" i="59"/>
  <c r="E11" i="59" s="1"/>
  <c r="E10" i="59" s="1"/>
  <c r="E9" i="59" s="1"/>
  <c r="U13" i="59"/>
  <c r="C15" i="59"/>
  <c r="D16" i="59"/>
  <c r="C24" i="59"/>
  <c r="D23" i="59"/>
  <c r="D3" i="75"/>
  <c r="D9" i="12"/>
  <c r="K7" i="1"/>
  <c r="M7" i="1" s="1"/>
  <c r="O7" i="1" s="1"/>
  <c r="P7" i="1" s="1"/>
  <c r="D72" i="59"/>
  <c r="C71" i="59"/>
  <c r="D71" i="59" s="1"/>
  <c r="D18" i="9"/>
  <c r="M44" i="9" s="1"/>
  <c r="M43" i="9"/>
  <c r="AB9" i="35"/>
  <c r="U9" i="35"/>
  <c r="AB23" i="36"/>
  <c r="U23" i="36"/>
  <c r="S34" i="35"/>
  <c r="AA34" i="35"/>
  <c r="AC34" i="35"/>
  <c r="W34" i="35"/>
  <c r="AB14" i="21"/>
  <c r="U14" i="21"/>
  <c r="AC30" i="21"/>
  <c r="W30" i="21"/>
  <c r="W13" i="35"/>
  <c r="AC13" i="35"/>
  <c r="AA13" i="37"/>
  <c r="S13" i="37"/>
  <c r="W32" i="34"/>
  <c r="AC32" i="34"/>
  <c r="AB14" i="39"/>
  <c r="U14" i="39"/>
  <c r="U16" i="39"/>
  <c r="AB16" i="39"/>
  <c r="AA27" i="39"/>
  <c r="S27" i="39"/>
  <c r="U34" i="40"/>
  <c r="AB34" i="40"/>
  <c r="AA17" i="34"/>
  <c r="S17" i="34"/>
  <c r="W23" i="34"/>
  <c r="AC23" i="34"/>
  <c r="W29" i="40"/>
  <c r="AC29" i="40"/>
  <c r="AB43" i="34"/>
  <c r="U43" i="34"/>
  <c r="AA37" i="33"/>
  <c r="S37" i="33"/>
  <c r="S12" i="21"/>
  <c r="AA12" i="21"/>
  <c r="V28" i="1"/>
  <c r="Y28" i="1" s="1"/>
  <c r="Y27" i="1"/>
  <c r="AB29" i="75"/>
  <c r="U29" i="75"/>
  <c r="AC21" i="34"/>
  <c r="W21" i="34"/>
  <c r="AZ22" i="3"/>
  <c r="G105" i="46"/>
  <c r="G104" i="46"/>
  <c r="E107" i="46"/>
  <c r="C105" i="46"/>
  <c r="G109" i="46"/>
  <c r="F27" i="6"/>
  <c r="F31" i="6" s="1"/>
  <c r="G102" i="46"/>
  <c r="AA13" i="46"/>
  <c r="AA28" i="75"/>
  <c r="S28" i="75"/>
  <c r="AA44" i="75"/>
  <c r="S44" i="75"/>
  <c r="AC31" i="75"/>
  <c r="W31" i="75"/>
  <c r="AB17" i="75"/>
  <c r="U17" i="75"/>
  <c r="D44" i="59"/>
  <c r="C45" i="59"/>
  <c r="C32" i="59"/>
  <c r="D31" i="59"/>
  <c r="O12" i="1"/>
  <c r="P12" i="1" s="1"/>
  <c r="F34" i="75"/>
  <c r="H34" i="75"/>
  <c r="J34" i="75"/>
  <c r="D53" i="59"/>
  <c r="T53" i="59"/>
  <c r="D64" i="59"/>
  <c r="C63" i="59"/>
  <c r="D63" i="59" s="1"/>
  <c r="P59" i="59"/>
  <c r="P58" i="59"/>
  <c r="AB21" i="34"/>
  <c r="U21" i="34"/>
  <c r="AA21" i="34"/>
  <c r="S21" i="34"/>
  <c r="AA9" i="35"/>
  <c r="S9" i="35"/>
  <c r="AB10" i="34"/>
  <c r="U10" i="34"/>
  <c r="AA23" i="36"/>
  <c r="S23" i="36"/>
  <c r="AC23" i="36"/>
  <c r="W23" i="36"/>
  <c r="U34" i="35"/>
  <c r="AB34" i="35"/>
  <c r="W12" i="33"/>
  <c r="AC12" i="33"/>
  <c r="S40" i="34"/>
  <c r="AA40" i="34"/>
  <c r="AB9" i="34"/>
  <c r="U9" i="34"/>
  <c r="AB37" i="33"/>
  <c r="U37" i="33"/>
  <c r="S28" i="21"/>
  <c r="AA28" i="21"/>
  <c r="S45" i="33"/>
  <c r="AA45" i="33"/>
  <c r="AB13" i="35"/>
  <c r="U13" i="35"/>
  <c r="W13" i="37"/>
  <c r="AC13" i="37"/>
  <c r="AB14" i="34"/>
  <c r="U14" i="34"/>
  <c r="AB27" i="34"/>
  <c r="U27" i="34"/>
  <c r="AA23" i="35"/>
  <c r="S23" i="35"/>
  <c r="AC14" i="39"/>
  <c r="W14" i="39"/>
  <c r="AC16" i="39"/>
  <c r="W16" i="39"/>
  <c r="AC27" i="39"/>
  <c r="W27" i="39"/>
  <c r="AA23" i="34"/>
  <c r="S23" i="34"/>
  <c r="U12" i="21"/>
  <c r="AB12" i="21"/>
  <c r="I103" i="46"/>
  <c r="M103" i="46"/>
  <c r="M109" i="46"/>
  <c r="H109" i="46"/>
  <c r="G9" i="1"/>
  <c r="AP9" i="1"/>
  <c r="H65" i="40"/>
  <c r="G67" i="40"/>
  <c r="L103" i="46"/>
  <c r="N102" i="46"/>
  <c r="L109" i="46"/>
  <c r="L102" i="46"/>
  <c r="L106" i="46"/>
  <c r="N105" i="46"/>
  <c r="N106" i="46"/>
  <c r="S5" i="46"/>
  <c r="B116" i="46"/>
  <c r="C116" i="46" s="1"/>
  <c r="I117" i="46"/>
  <c r="J117" i="46" s="1"/>
  <c r="K117" i="46" s="1"/>
  <c r="L117" i="46" s="1"/>
  <c r="M117" i="46" s="1"/>
  <c r="B118" i="46"/>
  <c r="C118" i="46" s="1"/>
  <c r="D106" i="46"/>
  <c r="D116" i="46"/>
  <c r="E116" i="46" s="1"/>
  <c r="F116" i="46" s="1"/>
  <c r="G116" i="46" s="1"/>
  <c r="H116" i="46" s="1"/>
  <c r="J106" i="46"/>
  <c r="B115" i="46"/>
  <c r="C115" i="46" s="1"/>
  <c r="D102" i="46"/>
  <c r="C11" i="75"/>
  <c r="J11" i="75" s="1"/>
  <c r="D117" i="46"/>
  <c r="E117" i="46" s="1"/>
  <c r="F117" i="46" s="1"/>
  <c r="G117" i="46" s="1"/>
  <c r="H117" i="46" s="1"/>
  <c r="D118" i="46"/>
  <c r="E118" i="46" s="1"/>
  <c r="F118" i="46" s="1"/>
  <c r="G118" i="46"/>
  <c r="H118" i="46" s="1"/>
  <c r="C11" i="34"/>
  <c r="F105" i="46"/>
  <c r="F104" i="46"/>
  <c r="F102" i="46"/>
  <c r="F109" i="46"/>
  <c r="F107" i="46"/>
  <c r="F106" i="46"/>
  <c r="F103" i="46"/>
  <c r="J107" i="46"/>
  <c r="J102" i="46"/>
  <c r="D103" i="46"/>
  <c r="D104" i="46"/>
  <c r="D107" i="46"/>
  <c r="D109" i="46"/>
  <c r="I115" i="46"/>
  <c r="J115" i="46" s="1"/>
  <c r="K115" i="46" s="1"/>
  <c r="L115" i="46" s="1"/>
  <c r="M115" i="46" s="1"/>
  <c r="D115" i="46"/>
  <c r="E115" i="46" s="1"/>
  <c r="F115" i="46" s="1"/>
  <c r="G115" i="46" s="1"/>
  <c r="H115" i="46" s="1"/>
  <c r="I116" i="46"/>
  <c r="J116" i="46" s="1"/>
  <c r="K116" i="46" s="1"/>
  <c r="L116" i="46" s="1"/>
  <c r="M116" i="46" s="1"/>
  <c r="B117" i="46"/>
  <c r="C117" i="46" s="1"/>
  <c r="J105" i="46"/>
  <c r="J109" i="46"/>
  <c r="J103" i="46"/>
  <c r="I109" i="46"/>
  <c r="I107" i="46"/>
  <c r="I106" i="46"/>
  <c r="I102" i="46"/>
  <c r="H103" i="46"/>
  <c r="H102" i="46"/>
  <c r="H107" i="46"/>
  <c r="M104" i="46"/>
  <c r="M107" i="46"/>
  <c r="C103" i="46"/>
  <c r="C107" i="46"/>
  <c r="C104" i="46"/>
  <c r="E105" i="46"/>
  <c r="E102" i="46"/>
  <c r="E106" i="46"/>
  <c r="E16" i="6"/>
  <c r="J13" i="39"/>
  <c r="F13" i="39"/>
  <c r="H13" i="39"/>
  <c r="J11" i="33"/>
  <c r="H11" i="33"/>
  <c r="F11" i="33"/>
  <c r="S2" i="46"/>
  <c r="S3" i="46"/>
  <c r="S4" i="46"/>
  <c r="W37" i="75"/>
  <c r="AC37" i="75"/>
  <c r="AC27" i="75"/>
  <c r="W27" i="75"/>
  <c r="AB47" i="75"/>
  <c r="U47" i="75"/>
  <c r="W45" i="75"/>
  <c r="AC45" i="75"/>
  <c r="D21" i="59"/>
  <c r="T21" i="59"/>
  <c r="C20" i="59"/>
  <c r="C19" i="46"/>
  <c r="C33" i="46" s="1"/>
  <c r="M13" i="1"/>
  <c r="G16" i="1"/>
  <c r="D56" i="59"/>
  <c r="C57" i="59"/>
  <c r="D48" i="59"/>
  <c r="C49" i="59"/>
  <c r="W25" i="37"/>
  <c r="AC25" i="37"/>
  <c r="U24" i="36"/>
  <c r="AB24" i="36"/>
  <c r="AA9" i="36"/>
  <c r="S9" i="36"/>
  <c r="AC9" i="36"/>
  <c r="W9" i="36"/>
  <c r="U36" i="35"/>
  <c r="AB36" i="35"/>
  <c r="AB9" i="21"/>
  <c r="U9" i="21"/>
  <c r="U42" i="33"/>
  <c r="AB42" i="33"/>
  <c r="S7" i="75"/>
  <c r="AA7" i="75"/>
  <c r="F52" i="37"/>
  <c r="C34" i="46"/>
  <c r="AB37" i="34"/>
  <c r="U37" i="34"/>
  <c r="AB34" i="39"/>
  <c r="U34" i="39"/>
  <c r="E66" i="39"/>
  <c r="E61" i="40"/>
  <c r="E67" i="39"/>
  <c r="E62" i="40"/>
  <c r="F46" i="36"/>
  <c r="AA7" i="33"/>
  <c r="S7" i="33"/>
  <c r="AC7" i="21"/>
  <c r="V48" i="21" s="1"/>
  <c r="I48" i="21" s="1"/>
  <c r="W7" i="21"/>
  <c r="AB7" i="21"/>
  <c r="T48" i="21" s="1"/>
  <c r="G48" i="21" s="1"/>
  <c r="U7" i="21"/>
  <c r="S37" i="75"/>
  <c r="AA37" i="75"/>
  <c r="S27" i="75"/>
  <c r="AA27" i="75"/>
  <c r="AA45" i="75"/>
  <c r="S45" i="75"/>
  <c r="AB13" i="75"/>
  <c r="U13" i="75"/>
  <c r="U37" i="75"/>
  <c r="AB37" i="75"/>
  <c r="U27" i="75"/>
  <c r="AB27" i="75"/>
  <c r="S47" i="75"/>
  <c r="AA47" i="75"/>
  <c r="AC47" i="75"/>
  <c r="W47" i="75"/>
  <c r="U45" i="75"/>
  <c r="AB45" i="75"/>
  <c r="S13" i="75"/>
  <c r="AA13" i="75"/>
  <c r="W13" i="75"/>
  <c r="AC13" i="75"/>
  <c r="V21" i="59"/>
  <c r="F20" i="59"/>
  <c r="F19" i="59" s="1"/>
  <c r="C28" i="59"/>
  <c r="D27" i="59"/>
  <c r="D36" i="59"/>
  <c r="C37" i="59"/>
  <c r="G5" i="3"/>
  <c r="B3" i="3" s="1"/>
  <c r="E540" i="3" s="1"/>
  <c r="S25" i="37"/>
  <c r="AA25" i="37"/>
  <c r="U25" i="37"/>
  <c r="AB25" i="37"/>
  <c r="AC24" i="36"/>
  <c r="W24" i="36"/>
  <c r="U9" i="36"/>
  <c r="AB9" i="36"/>
  <c r="W36" i="35"/>
  <c r="AC36" i="35"/>
  <c r="W9" i="35"/>
  <c r="AC9" i="35"/>
  <c r="AC42" i="33"/>
  <c r="W42" i="33"/>
  <c r="AC7" i="33"/>
  <c r="W7" i="33"/>
  <c r="W7" i="75"/>
  <c r="AC7" i="75"/>
  <c r="AZ5" i="3"/>
  <c r="F48" i="35"/>
  <c r="T14" i="46"/>
  <c r="V14" i="46" s="1"/>
  <c r="U7" i="75"/>
  <c r="AB7" i="75"/>
  <c r="K70" i="39"/>
  <c r="J72" i="39"/>
  <c r="S37" i="34"/>
  <c r="AA37" i="34"/>
  <c r="W37" i="34"/>
  <c r="AC37" i="34"/>
  <c r="AC34" i="39"/>
  <c r="W34" i="39"/>
  <c r="AA34" i="39"/>
  <c r="S34" i="39"/>
  <c r="E60" i="40"/>
  <c r="E65" i="39"/>
  <c r="E59" i="40"/>
  <c r="E64" i="39"/>
  <c r="Q16" i="1"/>
  <c r="V9" i="59"/>
  <c r="F8" i="59"/>
  <c r="F7" i="59" s="1"/>
  <c r="F6" i="59" s="1"/>
  <c r="F5" i="59" s="1"/>
  <c r="V5" i="59" s="1"/>
  <c r="K14" i="1"/>
  <c r="M14" i="1" s="1"/>
  <c r="K23" i="6"/>
  <c r="K25" i="6"/>
  <c r="M25" i="6" s="1"/>
  <c r="I25" i="6" s="1"/>
  <c r="S25" i="6" s="1"/>
  <c r="K26" i="6"/>
  <c r="M26" i="6" s="1"/>
  <c r="I26" i="6" s="1"/>
  <c r="S26" i="6" s="1"/>
  <c r="E30" i="6"/>
  <c r="K20" i="6"/>
  <c r="K22" i="6"/>
  <c r="G59" i="34"/>
  <c r="S5" i="59"/>
  <c r="AA7" i="21"/>
  <c r="R48" i="21" s="1"/>
  <c r="S7" i="21"/>
  <c r="F17" i="11"/>
  <c r="C17" i="11" s="1"/>
  <c r="C19" i="11" s="1"/>
  <c r="B40" i="1"/>
  <c r="M11" i="15"/>
  <c r="J10" i="15" s="1"/>
  <c r="F11" i="74"/>
  <c r="F11" i="76"/>
  <c r="C52" i="76" s="1"/>
  <c r="M11" i="76"/>
  <c r="J10" i="76" s="1"/>
  <c r="F11" i="15"/>
  <c r="C52" i="15" s="1"/>
  <c r="M11" i="74"/>
  <c r="J10" i="74" s="1"/>
  <c r="F13" i="44"/>
  <c r="C12" i="44" s="1"/>
  <c r="M13" i="44"/>
  <c r="J12" i="44" s="1"/>
  <c r="F1" i="15"/>
  <c r="Q53" i="15"/>
  <c r="B3" i="67"/>
  <c r="B4" i="67"/>
  <c r="Q75" i="15"/>
  <c r="Q62" i="15"/>
  <c r="Q58" i="15"/>
  <c r="Q67" i="15"/>
  <c r="M28" i="46"/>
  <c r="O28" i="46"/>
  <c r="P28" i="46"/>
  <c r="N28" i="46"/>
  <c r="Q74" i="15"/>
  <c r="Q61" i="15"/>
  <c r="C16" i="15"/>
  <c r="M22" i="76"/>
  <c r="F37" i="76"/>
  <c r="L48" i="74"/>
  <c r="F7" i="74"/>
  <c r="F6" i="76"/>
  <c r="M8" i="76"/>
  <c r="M22" i="74"/>
  <c r="M24" i="76"/>
  <c r="F6" i="74"/>
  <c r="M29" i="74"/>
  <c r="M28" i="76"/>
  <c r="M27" i="74"/>
  <c r="C18" i="44"/>
  <c r="F40" i="76"/>
  <c r="F26" i="74"/>
  <c r="F13" i="74"/>
  <c r="F7" i="76"/>
  <c r="F36" i="76"/>
  <c r="F8" i="74"/>
  <c r="F38" i="76"/>
  <c r="L47" i="76"/>
  <c r="J36" i="74"/>
  <c r="M9" i="74"/>
  <c r="M26" i="76"/>
  <c r="F43" i="76"/>
  <c r="F38" i="74"/>
  <c r="F8" i="76"/>
  <c r="F37" i="74"/>
  <c r="M26" i="74"/>
  <c r="L48" i="76"/>
  <c r="F16" i="76"/>
  <c r="M8" i="74"/>
  <c r="J15" i="74"/>
  <c r="M6" i="76"/>
  <c r="M6" i="74"/>
  <c r="M23" i="74"/>
  <c r="F26" i="76"/>
  <c r="J15" i="76"/>
  <c r="M28" i="74"/>
  <c r="F40" i="74"/>
  <c r="M23" i="76"/>
  <c r="F43" i="74"/>
  <c r="F9" i="76"/>
  <c r="F36" i="74"/>
  <c r="M29" i="76"/>
  <c r="F16" i="74"/>
  <c r="F13" i="76"/>
  <c r="F42" i="74"/>
  <c r="M27" i="76"/>
  <c r="M24" i="74"/>
  <c r="J36" i="76"/>
  <c r="M9" i="76"/>
  <c r="F42" i="76"/>
  <c r="L47" i="74"/>
  <c r="F9" i="74"/>
  <c r="C32" i="15" l="1"/>
  <c r="K19" i="6"/>
  <c r="M19" i="6" s="1"/>
  <c r="E31" i="6"/>
  <c r="K21" i="6"/>
  <c r="M21" i="6" s="1"/>
  <c r="I21" i="6" s="1"/>
  <c r="S21" i="6" s="1"/>
  <c r="E68" i="39"/>
  <c r="AP16" i="1"/>
  <c r="F22" i="11" s="1"/>
  <c r="H16" i="1"/>
  <c r="F11" i="75"/>
  <c r="H11" i="75"/>
  <c r="Q76" i="44"/>
  <c r="F1" i="44"/>
  <c r="J5" i="15"/>
  <c r="J26" i="15" s="1"/>
  <c r="Q62" i="44"/>
  <c r="C7" i="44"/>
  <c r="C40" i="44" s="1"/>
  <c r="J7" i="44"/>
  <c r="J28" i="44" s="1"/>
  <c r="T8" i="46"/>
  <c r="V8" i="46" s="1"/>
  <c r="AB34" i="75"/>
  <c r="U34" i="75"/>
  <c r="D45" i="59"/>
  <c r="T45" i="59"/>
  <c r="V29" i="1"/>
  <c r="Y29" i="1" s="1"/>
  <c r="AC34" i="75"/>
  <c r="W34" i="75"/>
  <c r="AA34" i="75"/>
  <c r="S34" i="75"/>
  <c r="C33" i="59"/>
  <c r="D32" i="59"/>
  <c r="C25" i="59"/>
  <c r="D24" i="59"/>
  <c r="D15" i="59"/>
  <c r="C14" i="59"/>
  <c r="U9" i="59"/>
  <c r="E8" i="59"/>
  <c r="E7" i="59" s="1"/>
  <c r="E6" i="59" s="1"/>
  <c r="E5" i="59" s="1"/>
  <c r="U5" i="59" s="1"/>
  <c r="I65" i="40"/>
  <c r="H67" i="40"/>
  <c r="T11" i="46"/>
  <c r="V11" i="46" s="1"/>
  <c r="T2" i="46"/>
  <c r="V2" i="46" s="1"/>
  <c r="T13" i="46"/>
  <c r="V13" i="46" s="1"/>
  <c r="T6" i="46"/>
  <c r="V6" i="46" s="1"/>
  <c r="T15" i="46"/>
  <c r="V15" i="46" s="1"/>
  <c r="T16" i="46"/>
  <c r="V16" i="46" s="1"/>
  <c r="C36" i="46"/>
  <c r="T4" i="46"/>
  <c r="V4" i="46" s="1"/>
  <c r="T3" i="46"/>
  <c r="V3" i="46" s="1"/>
  <c r="T7" i="46"/>
  <c r="V7" i="46" s="1"/>
  <c r="T5" i="46"/>
  <c r="V5" i="46" s="1"/>
  <c r="T12" i="46"/>
  <c r="V12" i="46" s="1"/>
  <c r="T9" i="46"/>
  <c r="V9" i="46" s="1"/>
  <c r="T10" i="46"/>
  <c r="V10" i="46" s="1"/>
  <c r="C29" i="46"/>
  <c r="C30" i="46" s="1"/>
  <c r="E30" i="46" s="1"/>
  <c r="C27" i="46" s="1"/>
  <c r="C37" i="46"/>
  <c r="C39" i="46"/>
  <c r="AC11" i="75"/>
  <c r="W11" i="75"/>
  <c r="D113" i="46"/>
  <c r="H11" i="34"/>
  <c r="J11" i="34"/>
  <c r="F11" i="34"/>
  <c r="U11" i="33"/>
  <c r="AB11" i="33"/>
  <c r="T48" i="33" s="1"/>
  <c r="G48" i="33" s="1"/>
  <c r="U13" i="39"/>
  <c r="AB13" i="39"/>
  <c r="W13" i="39"/>
  <c r="AC13" i="39"/>
  <c r="S11" i="33"/>
  <c r="AA11" i="33"/>
  <c r="R48" i="33" s="1"/>
  <c r="AC11" i="33"/>
  <c r="V48" i="33" s="1"/>
  <c r="I48" i="33" s="1"/>
  <c r="W11" i="33"/>
  <c r="AA13" i="39"/>
  <c r="S13" i="39"/>
  <c r="F67" i="74"/>
  <c r="J53" i="74"/>
  <c r="L60" i="74"/>
  <c r="J60" i="74"/>
  <c r="Q49" i="74" s="1"/>
  <c r="L57" i="74"/>
  <c r="L56" i="74"/>
  <c r="I54" i="74"/>
  <c r="J57" i="74"/>
  <c r="J55" i="74" s="1"/>
  <c r="J58" i="74" s="1"/>
  <c r="Q51" i="74" s="1"/>
  <c r="J59" i="74"/>
  <c r="C6" i="74"/>
  <c r="F65" i="74"/>
  <c r="F50" i="74"/>
  <c r="F63" i="74"/>
  <c r="Q72" i="76"/>
  <c r="F70" i="76"/>
  <c r="F63" i="76"/>
  <c r="C6" i="76"/>
  <c r="C10" i="76" s="1"/>
  <c r="C5" i="76" s="1"/>
  <c r="C38" i="76" s="1"/>
  <c r="F64" i="76"/>
  <c r="F49" i="76"/>
  <c r="M7" i="76"/>
  <c r="J6" i="76" s="1"/>
  <c r="J18" i="76" s="1"/>
  <c r="C27" i="76"/>
  <c r="L56" i="76"/>
  <c r="L60" i="76"/>
  <c r="J59" i="76"/>
  <c r="J60" i="76"/>
  <c r="Q49" i="76" s="1"/>
  <c r="J53" i="76"/>
  <c r="J57" i="76"/>
  <c r="J55" i="76" s="1"/>
  <c r="J58" i="76" s="1"/>
  <c r="Q51" i="76" s="1"/>
  <c r="I54" i="76"/>
  <c r="L57" i="76"/>
  <c r="L59" i="74"/>
  <c r="L58" i="74"/>
  <c r="F49" i="74"/>
  <c r="M7" i="74"/>
  <c r="J6" i="74" s="1"/>
  <c r="F70" i="74"/>
  <c r="F44" i="74"/>
  <c r="Q72" i="74"/>
  <c r="C27" i="74"/>
  <c r="F64" i="74"/>
  <c r="L59" i="76"/>
  <c r="L58" i="76"/>
  <c r="F67" i="76"/>
  <c r="F50" i="76"/>
  <c r="F65" i="76"/>
  <c r="G33" i="46"/>
  <c r="I33" i="46" s="1"/>
  <c r="E33" i="46"/>
  <c r="F33" i="12"/>
  <c r="C34" i="12" s="1"/>
  <c r="D33" i="12" s="1"/>
  <c r="F24" i="43"/>
  <c r="C26" i="43" s="1"/>
  <c r="D24" i="43" s="1"/>
  <c r="C47" i="15"/>
  <c r="C65" i="15" s="1"/>
  <c r="R49" i="21"/>
  <c r="E48" i="21"/>
  <c r="H59" i="34"/>
  <c r="S6" i="1"/>
  <c r="S8" i="1"/>
  <c r="O14" i="1"/>
  <c r="P14" i="1" s="1"/>
  <c r="K72" i="39"/>
  <c r="L70" i="39"/>
  <c r="G48" i="35"/>
  <c r="E516" i="3"/>
  <c r="E496" i="3"/>
  <c r="D28" i="59"/>
  <c r="C29" i="59"/>
  <c r="G53" i="21"/>
  <c r="H53" i="21" s="1"/>
  <c r="G52" i="21"/>
  <c r="H52" i="21" s="1"/>
  <c r="C38" i="46"/>
  <c r="C35" i="46"/>
  <c r="D49" i="59"/>
  <c r="T49" i="59"/>
  <c r="D57" i="59"/>
  <c r="T57" i="59"/>
  <c r="K16" i="1"/>
  <c r="O13" i="1"/>
  <c r="O16" i="1" s="1"/>
  <c r="M16" i="1"/>
  <c r="C19" i="59"/>
  <c r="D19" i="59" s="1"/>
  <c r="D20" i="59"/>
  <c r="M22" i="6"/>
  <c r="I22" i="6" s="1"/>
  <c r="S22" i="6" s="1"/>
  <c r="S9" i="1"/>
  <c r="S7" i="1"/>
  <c r="M20" i="6"/>
  <c r="I20" i="6" s="1"/>
  <c r="S20" i="6" s="1"/>
  <c r="S10" i="1"/>
  <c r="M23" i="6"/>
  <c r="I23" i="6" s="1"/>
  <c r="S23" i="6" s="1"/>
  <c r="E3" i="6"/>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443" i="3"/>
  <c r="E194" i="3"/>
  <c r="E78" i="3"/>
  <c r="E390" i="3"/>
  <c r="E296"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535" i="3"/>
  <c r="E381" i="3"/>
  <c r="E427" i="3"/>
  <c r="E278" i="3"/>
  <c r="E94" i="3"/>
  <c r="E387" i="3"/>
  <c r="E125" i="3"/>
  <c r="P6" i="3"/>
  <c r="AP6" i="3"/>
  <c r="E70" i="3"/>
  <c r="E151" i="3"/>
  <c r="E53" i="3"/>
  <c r="W6" i="3"/>
  <c r="E113" i="3"/>
  <c r="E425" i="3"/>
  <c r="E257" i="3"/>
  <c r="E139" i="3"/>
  <c r="E445" i="3"/>
  <c r="E556" i="3"/>
  <c r="E291" i="3"/>
  <c r="E527" i="3"/>
  <c r="E365" i="3"/>
  <c r="E248" i="3"/>
  <c r="E336"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86" i="3"/>
  <c r="E376" i="3"/>
  <c r="E21" i="3"/>
  <c r="E140" i="3"/>
  <c r="E142" i="3"/>
  <c r="E468" i="3"/>
  <c r="E185" i="3"/>
  <c r="E27" i="3"/>
  <c r="E469" i="3"/>
  <c r="E136" i="3"/>
  <c r="E85" i="3"/>
  <c r="E332" i="3"/>
  <c r="E166" i="3"/>
  <c r="O6" i="3"/>
  <c r="E204" i="3"/>
  <c r="E207" i="3"/>
  <c r="E449" i="3"/>
  <c r="E196" i="3"/>
  <c r="E259" i="3"/>
  <c r="E308"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192" i="3"/>
  <c r="E114" i="3"/>
  <c r="E348" i="3"/>
  <c r="E93" i="3"/>
  <c r="E394" i="3"/>
  <c r="E55" i="3"/>
  <c r="E282" i="3"/>
  <c r="E570" i="3"/>
  <c r="E375" i="3"/>
  <c r="E409" i="3"/>
  <c r="E83" i="3"/>
  <c r="E124" i="3"/>
  <c r="E222" i="3"/>
  <c r="E388" i="3"/>
  <c r="E430" i="3"/>
  <c r="E146" i="3"/>
  <c r="E77" i="3"/>
  <c r="E434" i="3"/>
  <c r="E552" i="3"/>
  <c r="E57" i="3"/>
  <c r="E241" i="3"/>
  <c r="E69" i="3"/>
  <c r="E446" i="3"/>
  <c r="E152" i="3"/>
  <c r="E437" i="3"/>
  <c r="E46" i="3"/>
  <c r="E221" i="3"/>
  <c r="E457" i="3"/>
  <c r="E31" i="3"/>
  <c r="X6" i="3"/>
  <c r="AA6" i="3"/>
  <c r="AD6" i="3"/>
  <c r="E299" i="3"/>
  <c r="E327" i="3"/>
  <c r="E103" i="3"/>
  <c r="E200" i="3"/>
  <c r="E62" i="3"/>
  <c r="E389" i="3"/>
  <c r="E230" i="3"/>
  <c r="E143" i="3"/>
  <c r="E13" i="3"/>
  <c r="E395" i="3"/>
  <c r="E280" i="3"/>
  <c r="E270" i="3"/>
  <c r="E157" i="3"/>
  <c r="E161" i="3"/>
  <c r="E492" i="3"/>
  <c r="E295" i="3"/>
  <c r="E89" i="3"/>
  <c r="E201" i="3"/>
  <c r="E170" i="3"/>
  <c r="E274" i="3"/>
  <c r="E32" i="3"/>
  <c r="E547" i="3"/>
  <c r="E447" i="3"/>
  <c r="E33" i="3"/>
  <c r="Q6" i="3"/>
  <c r="E119" i="3"/>
  <c r="E500" i="3"/>
  <c r="E97" i="3"/>
  <c r="AE6" i="3"/>
  <c r="E289" i="3"/>
  <c r="E265" i="3"/>
  <c r="E337" i="3"/>
  <c r="E472" i="3"/>
  <c r="E537" i="3"/>
  <c r="E452" i="3"/>
  <c r="E536" i="3"/>
  <c r="E462" i="3"/>
  <c r="E545" i="3"/>
  <c r="E482" i="3"/>
  <c r="N6" i="3"/>
  <c r="E533" i="3"/>
  <c r="E37" i="3"/>
  <c r="E303" i="3"/>
  <c r="E203" i="3"/>
  <c r="E402" i="3"/>
  <c r="E172" i="3"/>
  <c r="E255" i="3"/>
  <c r="E417" i="3"/>
  <c r="E145" i="3"/>
  <c r="E279" i="3"/>
  <c r="E347" i="3"/>
  <c r="E156" i="3"/>
  <c r="E193" i="3"/>
  <c r="E534" i="3"/>
  <c r="AH6" i="3"/>
  <c r="E431" i="3"/>
  <c r="E313" i="3"/>
  <c r="E363" i="3"/>
  <c r="E401" i="3"/>
  <c r="E52" i="3"/>
  <c r="U6" i="3"/>
  <c r="E73" i="3"/>
  <c r="E211"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76" i="3"/>
  <c r="E64" i="3"/>
  <c r="E410" i="3"/>
  <c r="E148" i="3"/>
  <c r="E247" i="3"/>
  <c r="E539" i="3"/>
  <c r="E102" i="3"/>
  <c r="E258" i="3"/>
  <c r="E43" i="3"/>
  <c r="E370"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06" i="3"/>
  <c r="E244" i="3"/>
  <c r="E137" i="3"/>
  <c r="E301" i="3"/>
  <c r="E484" i="3"/>
  <c r="E356" i="3"/>
  <c r="AO6" i="3"/>
  <c r="E135" i="3"/>
  <c r="E22" i="3"/>
  <c r="E459" i="3"/>
  <c r="E231" i="3"/>
  <c r="E470" i="3"/>
  <c r="E186" i="3"/>
  <c r="E263" i="3"/>
  <c r="E82" i="3"/>
  <c r="E99" i="3"/>
  <c r="E101" i="3"/>
  <c r="E421" i="3"/>
  <c r="E132" i="3"/>
  <c r="E91" i="3"/>
  <c r="E359" i="3"/>
  <c r="E391" i="3"/>
  <c r="E127" i="3"/>
  <c r="E215" i="3"/>
  <c r="E548" i="3"/>
  <c r="E454" i="3"/>
  <c r="AK6" i="3"/>
  <c r="E297" i="3"/>
  <c r="AN6" i="3"/>
  <c r="E59" i="3"/>
  <c r="E464" i="3"/>
  <c r="E209" i="3"/>
  <c r="E450" i="3"/>
  <c r="E149" i="3"/>
  <c r="E249" i="3"/>
  <c r="E549" i="3"/>
  <c r="E460" i="3"/>
  <c r="I3" i="6"/>
  <c r="E463" i="3"/>
  <c r="E292" i="3"/>
  <c r="E426" i="3"/>
  <c r="E60" i="3"/>
  <c r="E75" i="3"/>
  <c r="E178" i="3"/>
  <c r="J6" i="3"/>
  <c r="E48" i="3"/>
  <c r="E438" i="3"/>
  <c r="E455" i="3"/>
  <c r="E23" i="3"/>
  <c r="AM6" i="3"/>
  <c r="E158" i="3"/>
  <c r="E253" i="3"/>
  <c r="E54" i="3"/>
  <c r="E213" i="3"/>
  <c r="E397" i="3"/>
  <c r="E47" i="3"/>
  <c r="E184" i="3"/>
  <c r="E473" i="3"/>
  <c r="E232" i="3"/>
  <c r="E189" i="3"/>
  <c r="E507" i="3"/>
  <c r="E275" i="3"/>
  <c r="E39" i="3"/>
  <c r="E107" i="3"/>
  <c r="E288" i="3"/>
  <c r="E393" i="3"/>
  <c r="E88" i="3"/>
  <c r="E480" i="3"/>
  <c r="E220" i="3"/>
  <c r="E283" i="3"/>
  <c r="E49" i="3"/>
  <c r="E104" i="3"/>
  <c r="R6" i="3"/>
  <c r="E84" i="3"/>
  <c r="E38" i="3"/>
  <c r="E405" i="3"/>
  <c r="E79" i="3"/>
  <c r="E272" i="3"/>
  <c r="E451" i="3"/>
  <c r="E305" i="3"/>
  <c r="E126"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294" i="3"/>
  <c r="E343" i="3"/>
  <c r="E109" i="3"/>
  <c r="E412" i="3"/>
  <c r="E568" i="3"/>
  <c r="E245" i="3"/>
  <c r="E25" i="3"/>
  <c r="E479" i="3"/>
  <c r="E276"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475" i="3"/>
  <c r="E147" i="3"/>
  <c r="E439" i="3"/>
  <c r="E117" i="3"/>
  <c r="E528" i="3"/>
  <c r="E349" i="3"/>
  <c r="E311" i="3"/>
  <c r="E424" i="3"/>
  <c r="E164" i="3"/>
  <c r="E262" i="3"/>
  <c r="E68" i="3"/>
  <c r="E206" i="3"/>
  <c r="E333" i="3"/>
  <c r="E115" i="3"/>
  <c r="E195" i="3"/>
  <c r="E321" i="3"/>
  <c r="E266" i="3"/>
  <c r="I6" i="3"/>
  <c r="Z6" i="3"/>
  <c r="E520" i="3"/>
  <c r="D37" i="59"/>
  <c r="T37" i="59"/>
  <c r="G52" i="33"/>
  <c r="H52" i="33" s="1"/>
  <c r="I52" i="21"/>
  <c r="J52" i="21" s="1"/>
  <c r="I53" i="21"/>
  <c r="J53" i="21" s="1"/>
  <c r="G46" i="36"/>
  <c r="H46" i="36" s="1"/>
  <c r="I46" i="36" s="1"/>
  <c r="J46" i="36" s="1"/>
  <c r="K46" i="36" s="1"/>
  <c r="L46" i="36" s="1"/>
  <c r="M46" i="36" s="1"/>
  <c r="N46" i="36" s="1"/>
  <c r="O46" i="36" s="1"/>
  <c r="H7" i="36"/>
  <c r="G37" i="46"/>
  <c r="I37" i="46" s="1"/>
  <c r="E37" i="46"/>
  <c r="G36" i="46"/>
  <c r="I36" i="46" s="1"/>
  <c r="E36" i="46"/>
  <c r="G39" i="46"/>
  <c r="I39" i="46" s="1"/>
  <c r="E39" i="46"/>
  <c r="G34" i="46"/>
  <c r="I34" i="46" s="1"/>
  <c r="E34" i="46"/>
  <c r="G52" i="37"/>
  <c r="H52" i="37" s="1"/>
  <c r="I52" i="37" s="1"/>
  <c r="J52" i="37" s="1"/>
  <c r="K52" i="37" s="1"/>
  <c r="L52" i="37" s="1"/>
  <c r="M52" i="37" s="1"/>
  <c r="N52" i="37" s="1"/>
  <c r="O52" i="37" s="1"/>
  <c r="J7" i="37"/>
  <c r="H7" i="37"/>
  <c r="E504" i="3"/>
  <c r="F12" i="40"/>
  <c r="J12" i="40"/>
  <c r="F12" i="39"/>
  <c r="H12" i="40"/>
  <c r="J12" i="39"/>
  <c r="H12" i="39"/>
  <c r="F24" i="15"/>
  <c r="C24" i="15" s="1"/>
  <c r="F24" i="74"/>
  <c r="C24" i="74" s="1"/>
  <c r="F26" i="12"/>
  <c r="C27" i="12" s="1"/>
  <c r="D26" i="12" s="1"/>
  <c r="C32" i="12" s="1"/>
  <c r="D30" i="12" s="1"/>
  <c r="F24" i="76"/>
  <c r="C24" i="76" s="1"/>
  <c r="F21" i="43"/>
  <c r="F26" i="44"/>
  <c r="C26" i="44" s="1"/>
  <c r="C10" i="74"/>
  <c r="C52" i="74"/>
  <c r="C10" i="15"/>
  <c r="C5" i="15" s="1"/>
  <c r="C20" i="11"/>
  <c r="C21" i="11" s="1"/>
  <c r="C22" i="11" s="1"/>
  <c r="C23" i="11" s="1"/>
  <c r="B2" i="11" s="1"/>
  <c r="C19" i="44"/>
  <c r="C16" i="76"/>
  <c r="C16" i="74"/>
  <c r="C17" i="74"/>
  <c r="F41" i="15"/>
  <c r="C17" i="76"/>
  <c r="C17" i="15"/>
  <c r="E29" i="46" l="1"/>
  <c r="C26" i="46" s="1"/>
  <c r="B2" i="46" s="1"/>
  <c r="K27" i="6"/>
  <c r="AA11" i="75"/>
  <c r="R49" i="75" s="1"/>
  <c r="E49" i="75" s="1"/>
  <c r="S11" i="75"/>
  <c r="H6" i="3"/>
  <c r="V49" i="75"/>
  <c r="I49" i="75" s="1"/>
  <c r="I53" i="75" s="1"/>
  <c r="J53" i="75" s="1"/>
  <c r="U11" i="75"/>
  <c r="AB11" i="75"/>
  <c r="T49" i="75" s="1"/>
  <c r="J24" i="15"/>
  <c r="J26" i="44"/>
  <c r="J5" i="76"/>
  <c r="J26" i="76" s="1"/>
  <c r="J7" i="36"/>
  <c r="W7" i="36" s="1"/>
  <c r="C13" i="59"/>
  <c r="D14" i="59"/>
  <c r="V30" i="1"/>
  <c r="D25" i="59"/>
  <c r="T25" i="59"/>
  <c r="D33" i="59"/>
  <c r="T33" i="59"/>
  <c r="I67" i="40"/>
  <c r="J65" i="40"/>
  <c r="C59" i="15"/>
  <c r="C5" i="74"/>
  <c r="C38" i="74" s="1"/>
  <c r="C60" i="15"/>
  <c r="AA11" i="34"/>
  <c r="S11" i="34"/>
  <c r="U11" i="34"/>
  <c r="AB11" i="34"/>
  <c r="W11" i="34"/>
  <c r="AC11" i="34"/>
  <c r="I52" i="33"/>
  <c r="J52" i="33" s="1"/>
  <c r="G53" i="33"/>
  <c r="H53" i="33" s="1"/>
  <c r="R49" i="33"/>
  <c r="C49" i="33" s="1"/>
  <c r="B3" i="33" s="1"/>
  <c r="B2" i="33" s="1"/>
  <c r="E48" i="33"/>
  <c r="E52" i="33" s="1"/>
  <c r="F52" i="33" s="1"/>
  <c r="C48" i="76"/>
  <c r="C47" i="76" s="1"/>
  <c r="F68" i="15"/>
  <c r="AB12" i="39"/>
  <c r="U12" i="39"/>
  <c r="AB12" i="40"/>
  <c r="U12" i="40"/>
  <c r="W12" i="40"/>
  <c r="AC12" i="40"/>
  <c r="AC7" i="37"/>
  <c r="V42" i="37" s="1"/>
  <c r="I42" i="37" s="1"/>
  <c r="W7" i="37"/>
  <c r="AC7" i="36"/>
  <c r="V36" i="36" s="1"/>
  <c r="I36" i="36" s="1"/>
  <c r="D16" i="12"/>
  <c r="E6" i="6"/>
  <c r="D16" i="43"/>
  <c r="C16" i="43" s="1"/>
  <c r="C21" i="4"/>
  <c r="O5" i="54" s="1"/>
  <c r="B45" i="63" s="1"/>
  <c r="D45" i="9"/>
  <c r="L38" i="9"/>
  <c r="B14" i="66" s="1"/>
  <c r="B1" i="66" s="1"/>
  <c r="C7" i="66" s="1"/>
  <c r="N16" i="1"/>
  <c r="C29" i="43" s="1"/>
  <c r="C13" i="43"/>
  <c r="L16" i="1"/>
  <c r="G38" i="46"/>
  <c r="I38" i="46" s="1"/>
  <c r="E38" i="46"/>
  <c r="H48" i="35"/>
  <c r="S16" i="1"/>
  <c r="T10" i="1" s="1"/>
  <c r="E53" i="21"/>
  <c r="F53" i="21" s="1"/>
  <c r="E52" i="21"/>
  <c r="F52" i="21" s="1"/>
  <c r="F7" i="37"/>
  <c r="F7" i="36"/>
  <c r="Q61" i="76"/>
  <c r="Q74" i="76"/>
  <c r="J18" i="74"/>
  <c r="J5" i="74"/>
  <c r="Q61" i="74"/>
  <c r="Q74" i="74"/>
  <c r="Q67" i="76"/>
  <c r="Q58" i="76"/>
  <c r="C32" i="76"/>
  <c r="C33" i="76"/>
  <c r="Q67" i="74"/>
  <c r="Q58" i="74"/>
  <c r="J29" i="15"/>
  <c r="W12" i="39"/>
  <c r="AC12" i="39"/>
  <c r="AA12" i="39"/>
  <c r="S12" i="39"/>
  <c r="AA12" i="40"/>
  <c r="S12" i="40"/>
  <c r="AB7" i="37"/>
  <c r="T42" i="37" s="1"/>
  <c r="G42" i="37" s="1"/>
  <c r="U7" i="37"/>
  <c r="U7" i="36"/>
  <c r="AB7" i="36"/>
  <c r="T36" i="36" s="1"/>
  <c r="G36" i="36" s="1"/>
  <c r="AC6" i="3"/>
  <c r="E6" i="3" s="1"/>
  <c r="AY310" i="3"/>
  <c r="AY572" i="3"/>
  <c r="AY448" i="3"/>
  <c r="AY248" i="3"/>
  <c r="AY137" i="3"/>
  <c r="AY371" i="3"/>
  <c r="AY390" i="3"/>
  <c r="AY133" i="3"/>
  <c r="AY56" i="3"/>
  <c r="BM6" i="3"/>
  <c r="AY451" i="3"/>
  <c r="AY196" i="3"/>
  <c r="AY508" i="3"/>
  <c r="AY34" i="3"/>
  <c r="AY127" i="3"/>
  <c r="AY299" i="3"/>
  <c r="AY108" i="3"/>
  <c r="AY189" i="3"/>
  <c r="BI6" i="3"/>
  <c r="AY19" i="3"/>
  <c r="AY102" i="3"/>
  <c r="AY517" i="3"/>
  <c r="AY214" i="3"/>
  <c r="AY168" i="3"/>
  <c r="AY16" i="3"/>
  <c r="AY525" i="3"/>
  <c r="AY36" i="3"/>
  <c r="AY435" i="3"/>
  <c r="AY73" i="3"/>
  <c r="AY179" i="3"/>
  <c r="AY209" i="3"/>
  <c r="AY560" i="3"/>
  <c r="AY361" i="3"/>
  <c r="AY372" i="3"/>
  <c r="AY450" i="3"/>
  <c r="AY330" i="3"/>
  <c r="AY414" i="3"/>
  <c r="AY382" i="3"/>
  <c r="AY149" i="3"/>
  <c r="AY41" i="3"/>
  <c r="AY182" i="3"/>
  <c r="AY264" i="3"/>
  <c r="AY479" i="3"/>
  <c r="AY364" i="3"/>
  <c r="AY128" i="3"/>
  <c r="AY57" i="3"/>
  <c r="AY30" i="3"/>
  <c r="AY246" i="3"/>
  <c r="AY449" i="3"/>
  <c r="AY307" i="3"/>
  <c r="AY62" i="3"/>
  <c r="AY146" i="3"/>
  <c r="AY88" i="3"/>
  <c r="AY416" i="3"/>
  <c r="AY100" i="3"/>
  <c r="AY530" i="3"/>
  <c r="BK6" i="3"/>
  <c r="AY528" i="3"/>
  <c r="AY92" i="3"/>
  <c r="AY278" i="3"/>
  <c r="AY464" i="3"/>
  <c r="AY39" i="3"/>
  <c r="AY523" i="3"/>
  <c r="AY462" i="3"/>
  <c r="AY347" i="3"/>
  <c r="AY469" i="3"/>
  <c r="BO6" i="3"/>
  <c r="AY60" i="3"/>
  <c r="AY447" i="3"/>
  <c r="AY140" i="3"/>
  <c r="AY176" i="3"/>
  <c r="AY43" i="3"/>
  <c r="AY570" i="3"/>
  <c r="AY460" i="3"/>
  <c r="AY423" i="3"/>
  <c r="AY313" i="3"/>
  <c r="AY276" i="3"/>
  <c r="AY484" i="3"/>
  <c r="AY245" i="3"/>
  <c r="BP6" i="3"/>
  <c r="AY329" i="3"/>
  <c r="AY432" i="3"/>
  <c r="AY311" i="3"/>
  <c r="AY87" i="3"/>
  <c r="AY49" i="3"/>
  <c r="AY459" i="3"/>
  <c r="AY272" i="3"/>
  <c r="AY99" i="3"/>
  <c r="AY408" i="3"/>
  <c r="AY123" i="3"/>
  <c r="AY337" i="3"/>
  <c r="AY341" i="3"/>
  <c r="AY76" i="3"/>
  <c r="AY465" i="3"/>
  <c r="AY86" i="3"/>
  <c r="AY65" i="3"/>
  <c r="AY429" i="3"/>
  <c r="AY280" i="3"/>
  <c r="AY111" i="3"/>
  <c r="AY229" i="3"/>
  <c r="AY268" i="3"/>
  <c r="AY510" i="3"/>
  <c r="AY75" i="3"/>
  <c r="AY368" i="3"/>
  <c r="AY171" i="3"/>
  <c r="AY471" i="3"/>
  <c r="AY316" i="3"/>
  <c r="AY367" i="3"/>
  <c r="AY413" i="3"/>
  <c r="BT6" i="3"/>
  <c r="AY370" i="3"/>
  <c r="AY456" i="3"/>
  <c r="AY112" i="3"/>
  <c r="AY109" i="3"/>
  <c r="AY481" i="3"/>
  <c r="AY424" i="3"/>
  <c r="AY273" i="3"/>
  <c r="AY158" i="3"/>
  <c r="AY219" i="3"/>
  <c r="BA6" i="3"/>
  <c r="AY211" i="3"/>
  <c r="AY32" i="3"/>
  <c r="AY458" i="3"/>
  <c r="AY519" i="3"/>
  <c r="AY325" i="3"/>
  <c r="BF6" i="3"/>
  <c r="AY326" i="3"/>
  <c r="AY405" i="3"/>
  <c r="AY117" i="3"/>
  <c r="BS6" i="3"/>
  <c r="AY282" i="3"/>
  <c r="AY24" i="3"/>
  <c r="AY501" i="3"/>
  <c r="AY224" i="3"/>
  <c r="BN6" i="3"/>
  <c r="AY145" i="3"/>
  <c r="AY233" i="3"/>
  <c r="AY520" i="3"/>
  <c r="AY184" i="3"/>
  <c r="AY531" i="3"/>
  <c r="AY244" i="3"/>
  <c r="AY28" i="3"/>
  <c r="AY494" i="3"/>
  <c r="AY569" i="3"/>
  <c r="AY396" i="3"/>
  <c r="AY152" i="3"/>
  <c r="AY41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61" i="3"/>
  <c r="AY227" i="3"/>
  <c r="AY193" i="3"/>
  <c r="AY42" i="3"/>
  <c r="AY392" i="3"/>
  <c r="AY288" i="3"/>
  <c r="AY162" i="3"/>
  <c r="AY303" i="3"/>
  <c r="AY552"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529" i="3"/>
  <c r="AY383" i="3"/>
  <c r="AY202" i="3"/>
  <c r="AY384" i="3"/>
  <c r="AY45" i="3"/>
  <c r="AY95" i="3"/>
  <c r="AY37" i="3"/>
  <c r="AY349" i="3"/>
  <c r="AY348" i="3"/>
  <c r="AY542" i="3"/>
  <c r="AY308" i="3"/>
  <c r="AY114" i="3"/>
  <c r="AY274" i="3"/>
  <c r="AY91" i="3"/>
  <c r="BC6" i="3"/>
  <c r="AY122" i="3"/>
  <c r="AY389" i="3"/>
  <c r="AY550" i="3"/>
  <c r="AY178" i="3"/>
  <c r="AY422" i="3"/>
  <c r="AY74" i="3"/>
  <c r="AY549" i="3"/>
  <c r="AY181" i="3"/>
  <c r="AY317" i="3"/>
  <c r="AY31" i="3"/>
  <c r="AY105" i="3"/>
  <c r="AY67" i="3"/>
  <c r="AY198" i="3"/>
  <c r="AY379" i="3"/>
  <c r="AY115" i="3"/>
  <c r="AY420" i="3"/>
  <c r="AY516" i="3"/>
  <c r="AY411" i="3"/>
  <c r="AY21" i="3"/>
  <c r="AY352" i="3"/>
  <c r="AY438" i="3"/>
  <c r="AY342" i="3"/>
  <c r="AY256" i="3"/>
  <c r="AY366" i="3"/>
  <c r="AY476" i="3"/>
  <c r="AY217" i="3"/>
  <c r="AY535" i="3"/>
  <c r="AY511" i="3"/>
  <c r="AY332" i="3"/>
  <c r="AY119" i="3"/>
  <c r="AY513" i="3"/>
  <c r="AY524" i="3"/>
  <c r="AY164" i="3"/>
  <c r="AY297" i="3"/>
  <c r="AY393" i="3"/>
  <c r="AY281" i="3"/>
  <c r="AY240" i="3"/>
  <c r="AY559" i="3"/>
  <c r="AY153" i="3"/>
  <c r="AY20" i="3"/>
  <c r="AY407" i="3"/>
  <c r="AY561" i="3"/>
  <c r="AY309" i="3"/>
  <c r="AY14" i="3"/>
  <c r="AY265" i="3"/>
  <c r="AY354" i="3"/>
  <c r="AY165" i="3"/>
  <c r="AY134" i="3"/>
  <c r="AY54" i="3"/>
  <c r="AY566" i="3"/>
  <c r="AY260" i="3"/>
  <c r="AY362" i="3"/>
  <c r="AY512" i="3"/>
  <c r="AY192" i="3"/>
  <c r="AY84" i="3"/>
  <c r="AY563" i="3"/>
  <c r="AY540" i="3"/>
  <c r="AY242" i="3"/>
  <c r="AY380" i="3"/>
  <c r="AY27" i="3"/>
  <c r="AY565" i="3"/>
  <c r="AY225" i="3"/>
  <c r="AY96" i="3"/>
  <c r="AY320" i="3"/>
  <c r="AY101" i="3"/>
  <c r="AY359" i="3"/>
  <c r="AY333" i="3"/>
  <c r="AY232" i="3"/>
  <c r="AY369" i="3"/>
  <c r="AY558" i="3"/>
  <c r="AY17" i="3"/>
  <c r="AY421" i="3"/>
  <c r="AY444" i="3"/>
  <c r="AY120" i="3"/>
  <c r="AY503" i="3"/>
  <c r="AY40" i="3"/>
  <c r="AY263" i="3"/>
  <c r="AY94" i="3"/>
  <c r="AY258" i="3"/>
  <c r="AY253" i="3"/>
  <c r="AY188" i="3"/>
  <c r="AY80" i="3"/>
  <c r="AY55" i="3"/>
  <c r="AY463" i="3"/>
  <c r="AY412" i="3"/>
  <c r="AY236" i="3"/>
  <c r="AY97" i="3"/>
  <c r="AY175" i="3"/>
  <c r="AY139" i="3"/>
  <c r="AY169" i="3"/>
  <c r="AY275" i="3"/>
  <c r="AY155" i="3"/>
  <c r="AY106" i="3"/>
  <c r="AY118" i="3"/>
  <c r="AY397" i="3"/>
  <c r="AY187" i="3"/>
  <c r="AY194" i="3"/>
  <c r="AY427" i="3"/>
  <c r="AY533" i="3"/>
  <c r="AY468" i="3"/>
  <c r="AY483" i="3"/>
  <c r="AY22" i="3"/>
  <c r="BE6" i="3"/>
  <c r="AY488" i="3"/>
  <c r="AY387" i="3"/>
  <c r="AY287" i="3"/>
  <c r="BQ6" i="3"/>
  <c r="AY437" i="3"/>
  <c r="AY141" i="3"/>
  <c r="AY442" i="3"/>
  <c r="AY374" i="3"/>
  <c r="AY25" i="3"/>
  <c r="AY321" i="3"/>
  <c r="AY537" i="3"/>
  <c r="AY204" i="3"/>
  <c r="AY85" i="3"/>
  <c r="AY207" i="3"/>
  <c r="AY259" i="3"/>
  <c r="AY365" i="3"/>
  <c r="AY29" i="3"/>
  <c r="AY319" i="3"/>
  <c r="AY388" i="3"/>
  <c r="AY415" i="3"/>
  <c r="AY38" i="3"/>
  <c r="AY64" i="3"/>
  <c r="AY148" i="3"/>
  <c r="AY221" i="3"/>
  <c r="AY461" i="3"/>
  <c r="AY186" i="3"/>
  <c r="AY226" i="3"/>
  <c r="AY172" i="3"/>
  <c r="AY544" i="3"/>
  <c r="AY445" i="3"/>
  <c r="BL6" i="3"/>
  <c r="AY131" i="3"/>
  <c r="AY151" i="3"/>
  <c r="AY381" i="3"/>
  <c r="AY290" i="3"/>
  <c r="AY239" i="3"/>
  <c r="AY163" i="3"/>
  <c r="AY355" i="3"/>
  <c r="AY285" i="3"/>
  <c r="AY538" i="3"/>
  <c r="AY418" i="3"/>
  <c r="AY130" i="3"/>
  <c r="AY487" i="3"/>
  <c r="AY539" i="3"/>
  <c r="BB6" i="3"/>
  <c r="AY338" i="3"/>
  <c r="AY243" i="3"/>
  <c r="AY466" i="3"/>
  <c r="AY441" i="3"/>
  <c r="AY216" i="3"/>
  <c r="AY428" i="3"/>
  <c r="AY356" i="3"/>
  <c r="AY562" i="3"/>
  <c r="AY527" i="3"/>
  <c r="AY480" i="3"/>
  <c r="AY358" i="3"/>
  <c r="AY223" i="3"/>
  <c r="AY235" i="3"/>
  <c r="AY267" i="3"/>
  <c r="AY433" i="3"/>
  <c r="AY502" i="3"/>
  <c r="AY514" i="3"/>
  <c r="AY507" i="3"/>
  <c r="AY23" i="3"/>
  <c r="AY522" i="3"/>
  <c r="AY551" i="3"/>
  <c r="AY180" i="3"/>
  <c r="AY69" i="3"/>
  <c r="AY286" i="3"/>
  <c r="AY277" i="3"/>
  <c r="AY203" i="3"/>
  <c r="AY77" i="3"/>
  <c r="AY241" i="3"/>
  <c r="AY52" i="3"/>
  <c r="AY13" i="3"/>
  <c r="AY457" i="3"/>
  <c r="AY269" i="3"/>
  <c r="AY324" i="3"/>
  <c r="AY129" i="3"/>
  <c r="AY402" i="3"/>
  <c r="AY47" i="3"/>
  <c r="AY486" i="3"/>
  <c r="AY238" i="3"/>
  <c r="AY157" i="3"/>
  <c r="AY293" i="3"/>
  <c r="AY336" i="3"/>
  <c r="AY81" i="3"/>
  <c r="AY116" i="3"/>
  <c r="AY26" i="3"/>
  <c r="AY51" i="3"/>
  <c r="AY345" i="3"/>
  <c r="AY177" i="3"/>
  <c r="AY490" i="3"/>
  <c r="AY475" i="3"/>
  <c r="AY375" i="3"/>
  <c r="AY247" i="3"/>
  <c r="AY44" i="3"/>
  <c r="AY304" i="3"/>
  <c r="AY255" i="3"/>
  <c r="AY312" i="3"/>
  <c r="AY228" i="3"/>
  <c r="AY125" i="3"/>
  <c r="AY436" i="3"/>
  <c r="AY505" i="3"/>
  <c r="AY107" i="3"/>
  <c r="AY305" i="3"/>
  <c r="AY206" i="3"/>
  <c r="AY335" i="3"/>
  <c r="AY257" i="3"/>
  <c r="AY254" i="3"/>
  <c r="AY249" i="3"/>
  <c r="AY489" i="3"/>
  <c r="AY113" i="3"/>
  <c r="AY18" i="3"/>
  <c r="AY521" i="3"/>
  <c r="AY318" i="3"/>
  <c r="AY185" i="3"/>
  <c r="AY210" i="3"/>
  <c r="AY470" i="3"/>
  <c r="AY53" i="3"/>
  <c r="AY295" i="3"/>
  <c r="AY386" i="3"/>
  <c r="AY70" i="3"/>
  <c r="AY126" i="3"/>
  <c r="AY104" i="3"/>
  <c r="AY376" i="3"/>
  <c r="AY191" i="3"/>
  <c r="AY72" i="3"/>
  <c r="AY504" i="3"/>
  <c r="AY467" i="3"/>
  <c r="AY82" i="3"/>
  <c r="AY143" i="3"/>
  <c r="AY201" i="3"/>
  <c r="AY135" i="3"/>
  <c r="AY250" i="3"/>
  <c r="AY58" i="3"/>
  <c r="AY132" i="3"/>
  <c r="AY35" i="3"/>
  <c r="AY315" i="3"/>
  <c r="AY536" i="3"/>
  <c r="AY231" i="3"/>
  <c r="AY322" i="3"/>
  <c r="AY208" i="3"/>
  <c r="AY431" i="3"/>
  <c r="AY261" i="3"/>
  <c r="AY205" i="3"/>
  <c r="AY68" i="3"/>
  <c r="AY515" i="3"/>
  <c r="BD6" i="3"/>
  <c r="AY144" i="3"/>
  <c r="AY400" i="3"/>
  <c r="AY150" i="3"/>
  <c r="AY183" i="3"/>
  <c r="AY197" i="3"/>
  <c r="BH6" i="3"/>
  <c r="AY346" i="3"/>
  <c r="AY200" i="3"/>
  <c r="AY314" i="3"/>
  <c r="AY154" i="3"/>
  <c r="AY409" i="3"/>
  <c r="AY138" i="3"/>
  <c r="AY166" i="3"/>
  <c r="AY323" i="3"/>
  <c r="AY518" i="3"/>
  <c r="AY50" i="3"/>
  <c r="AY378" i="3"/>
  <c r="AY443" i="3"/>
  <c r="AY446" i="3"/>
  <c r="AY500" i="3"/>
  <c r="AY66" i="3"/>
  <c r="AY142" i="3"/>
  <c r="AY103" i="3"/>
  <c r="AY394" i="3"/>
  <c r="AY350" i="3"/>
  <c r="AY430" i="3"/>
  <c r="AY472" i="3"/>
  <c r="AY453" i="3"/>
  <c r="AY485" i="3"/>
  <c r="AY156" i="3"/>
  <c r="AY283" i="3"/>
  <c r="AY546" i="3"/>
  <c r="AY492" i="3"/>
  <c r="BR6" i="3"/>
  <c r="AY327" i="3"/>
  <c r="AY557" i="3"/>
  <c r="AY289" i="3"/>
  <c r="AY331" i="3"/>
  <c r="AY509" i="3"/>
  <c r="AY564" i="3"/>
  <c r="AY296" i="3"/>
  <c r="AY79" i="3"/>
  <c r="AY373" i="3"/>
  <c r="AY474" i="3"/>
  <c r="AY136" i="3"/>
  <c r="AY266" i="3"/>
  <c r="AY218" i="3"/>
  <c r="AY147" i="3"/>
  <c r="AY498" i="3"/>
  <c r="AY553" i="3"/>
  <c r="AY90" i="3"/>
  <c r="AY344" i="3"/>
  <c r="AY190" i="3"/>
  <c r="AY401" i="3"/>
  <c r="AY545" i="3"/>
  <c r="AY455" i="3"/>
  <c r="AY298" i="3"/>
  <c r="AY499" i="3"/>
  <c r="AY215" i="3"/>
  <c r="AY173" i="3"/>
  <c r="AY33" i="3"/>
  <c r="AY167" i="3"/>
  <c r="AY292" i="3"/>
  <c r="AY98" i="3"/>
  <c r="AY425" i="3"/>
  <c r="AY83" i="3"/>
  <c r="D3" i="6"/>
  <c r="B5" i="11" s="1"/>
  <c r="AY398" i="3"/>
  <c r="AY555" i="3"/>
  <c r="AY556" i="3"/>
  <c r="AY543" i="3"/>
  <c r="AY302" i="3"/>
  <c r="AY294" i="3"/>
  <c r="AY291" i="3"/>
  <c r="AY343" i="3"/>
  <c r="AY234" i="3"/>
  <c r="AY159" i="3"/>
  <c r="AY262" i="3"/>
  <c r="AY230" i="3"/>
  <c r="AY271" i="3"/>
  <c r="AY124" i="3"/>
  <c r="AY279" i="3"/>
  <c r="AY548" i="3"/>
  <c r="AY170" i="3"/>
  <c r="BJ6" i="3"/>
  <c r="AY89" i="3"/>
  <c r="AY300" i="3"/>
  <c r="AY377" i="3"/>
  <c r="AY395" i="3"/>
  <c r="AY506" i="3"/>
  <c r="AY78" i="3"/>
  <c r="AY406" i="3"/>
  <c r="AY526" i="3"/>
  <c r="AY121" i="3"/>
  <c r="BG6" i="3"/>
  <c r="AY568" i="3"/>
  <c r="AY252" i="3"/>
  <c r="AY410" i="3"/>
  <c r="AY357" i="3"/>
  <c r="AY222" i="3"/>
  <c r="AY46" i="3"/>
  <c r="AY360" i="3"/>
  <c r="AY160" i="3"/>
  <c r="AY493" i="3"/>
  <c r="AY340" i="3"/>
  <c r="B3" i="46"/>
  <c r="D4" i="46"/>
  <c r="B4" i="46"/>
  <c r="P13" i="1"/>
  <c r="P16" i="1" s="1"/>
  <c r="C13" i="12" s="1"/>
  <c r="E35" i="46"/>
  <c r="G35" i="46"/>
  <c r="I35" i="46" s="1"/>
  <c r="D29" i="59"/>
  <c r="T29" i="59"/>
  <c r="M70" i="39"/>
  <c r="L72" i="39"/>
  <c r="I19" i="6"/>
  <c r="M27" i="6"/>
  <c r="I59" i="34"/>
  <c r="C49" i="21"/>
  <c r="B3" i="21" s="1"/>
  <c r="B2" i="21" s="1"/>
  <c r="C48" i="21"/>
  <c r="Q75" i="76"/>
  <c r="Q62" i="76"/>
  <c r="Q62" i="74"/>
  <c r="Q75" i="74"/>
  <c r="Q53" i="76"/>
  <c r="F1" i="76"/>
  <c r="C48" i="74"/>
  <c r="C47" i="74" s="1"/>
  <c r="C33" i="74"/>
  <c r="C32" i="74"/>
  <c r="Q53" i="74"/>
  <c r="F1" i="74"/>
  <c r="B3" i="11"/>
  <c r="B4" i="11"/>
  <c r="C38" i="15"/>
  <c r="C23" i="43"/>
  <c r="D21" i="43" s="1"/>
  <c r="AE10" i="1"/>
  <c r="AE9" i="1"/>
  <c r="AE8" i="1"/>
  <c r="F46" i="44"/>
  <c r="G49" i="75" l="1"/>
  <c r="R50" i="75"/>
  <c r="C49" i="75" s="1"/>
  <c r="I53" i="33"/>
  <c r="J53" i="33" s="1"/>
  <c r="C48" i="33"/>
  <c r="R24" i="31" s="1"/>
  <c r="R26" i="31" s="1"/>
  <c r="S26" i="31" s="1"/>
  <c r="J24" i="76"/>
  <c r="T13" i="59"/>
  <c r="C12" i="59"/>
  <c r="D13" i="59"/>
  <c r="E53" i="33"/>
  <c r="F53" i="33" s="1"/>
  <c r="J67" i="40"/>
  <c r="K65" i="40"/>
  <c r="J31" i="44"/>
  <c r="C59" i="76"/>
  <c r="C65" i="76"/>
  <c r="C60" i="76"/>
  <c r="C59" i="74"/>
  <c r="C65" i="74"/>
  <c r="C60" i="74"/>
  <c r="G41" i="36"/>
  <c r="H41" i="36" s="1"/>
  <c r="G40" i="36"/>
  <c r="H40" i="36" s="1"/>
  <c r="AA7" i="37"/>
  <c r="R42" i="37" s="1"/>
  <c r="S7" i="37"/>
  <c r="T9" i="1"/>
  <c r="I48" i="35"/>
  <c r="E54" i="75"/>
  <c r="F54" i="75" s="1"/>
  <c r="E53" i="75"/>
  <c r="F53" i="75" s="1"/>
  <c r="I54" i="75"/>
  <c r="J54" i="75" s="1"/>
  <c r="C14" i="43"/>
  <c r="C17" i="43"/>
  <c r="D19" i="12"/>
  <c r="C19" i="12" s="1"/>
  <c r="C16" i="12"/>
  <c r="T8" i="1"/>
  <c r="J59" i="34"/>
  <c r="K59" i="34" s="1"/>
  <c r="L59" i="34" s="1"/>
  <c r="M59" i="34" s="1"/>
  <c r="N59" i="34" s="1"/>
  <c r="O59" i="34" s="1"/>
  <c r="I27" i="6"/>
  <c r="S19" i="6"/>
  <c r="S27" i="6" s="1"/>
  <c r="N70" i="39"/>
  <c r="N72" i="39" s="1"/>
  <c r="M72" i="39"/>
  <c r="J9" i="39" s="1"/>
  <c r="C17" i="12"/>
  <c r="C14" i="12"/>
  <c r="H24" i="6"/>
  <c r="E63" i="40"/>
  <c r="D12" i="6"/>
  <c r="D23" i="6"/>
  <c r="H22" i="6"/>
  <c r="C22" i="4"/>
  <c r="H20" i="6"/>
  <c r="H26" i="6"/>
  <c r="D21" i="6"/>
  <c r="D25" i="6"/>
  <c r="D6" i="6"/>
  <c r="D11" i="6"/>
  <c r="D13" i="6"/>
  <c r="H21" i="6"/>
  <c r="D10" i="6"/>
  <c r="D24" i="6"/>
  <c r="H19" i="6"/>
  <c r="D5" i="6"/>
  <c r="D14" i="6"/>
  <c r="H23" i="6"/>
  <c r="E45" i="9"/>
  <c r="D19" i="6"/>
  <c r="K38" i="9"/>
  <c r="C14" i="66" s="1"/>
  <c r="B2" i="66" s="1"/>
  <c r="D7" i="66" s="1"/>
  <c r="H25" i="6"/>
  <c r="D15" i="6"/>
  <c r="D26" i="6"/>
  <c r="R26" i="6" s="1"/>
  <c r="D28" i="6"/>
  <c r="F45" i="9"/>
  <c r="D9" i="6"/>
  <c r="D20" i="6"/>
  <c r="D8" i="6"/>
  <c r="D22" i="6"/>
  <c r="D29" i="6"/>
  <c r="R25" i="31"/>
  <c r="S25" i="31" s="1"/>
  <c r="G46" i="37"/>
  <c r="H46" i="37" s="1"/>
  <c r="G47" i="37"/>
  <c r="H47" i="37" s="1"/>
  <c r="J26" i="74"/>
  <c r="J24" i="74"/>
  <c r="S7" i="36"/>
  <c r="AA7" i="36"/>
  <c r="R36" i="36" s="1"/>
  <c r="T13" i="1"/>
  <c r="T12" i="1"/>
  <c r="T6" i="1"/>
  <c r="T11" i="1"/>
  <c r="C50" i="75"/>
  <c r="B3" i="75" s="1"/>
  <c r="D22" i="12"/>
  <c r="C22" i="12" s="1"/>
  <c r="C20" i="12" s="1"/>
  <c r="D13" i="11"/>
  <c r="C13" i="11" s="1"/>
  <c r="I40" i="36"/>
  <c r="J40" i="36" s="1"/>
  <c r="I46" i="37"/>
  <c r="J46" i="37" s="1"/>
  <c r="T7" i="1"/>
  <c r="F41" i="74"/>
  <c r="F41" i="76"/>
  <c r="C14" i="76"/>
  <c r="C14" i="74"/>
  <c r="C16" i="44"/>
  <c r="C14" i="15"/>
  <c r="S24" i="31" l="1"/>
  <c r="G54" i="75"/>
  <c r="H54" i="75" s="1"/>
  <c r="G53" i="75"/>
  <c r="H53" i="75" s="1"/>
  <c r="C11" i="59"/>
  <c r="D12" i="59"/>
  <c r="J7" i="34"/>
  <c r="AC7" i="34" s="1"/>
  <c r="V49" i="34" s="1"/>
  <c r="I49" i="34" s="1"/>
  <c r="L65" i="40"/>
  <c r="K67" i="40"/>
  <c r="C15" i="74"/>
  <c r="C18" i="74"/>
  <c r="Q49" i="44"/>
  <c r="Q55" i="44" s="1"/>
  <c r="Q58" i="44"/>
  <c r="Q67" i="44"/>
  <c r="H27" i="6"/>
  <c r="R21" i="6"/>
  <c r="R8" i="1" s="1"/>
  <c r="R22" i="6"/>
  <c r="R9" i="1" s="1"/>
  <c r="R20" i="6"/>
  <c r="R7" i="1" s="1"/>
  <c r="S22" i="31"/>
  <c r="R22" i="31" s="1"/>
  <c r="B21" i="31" s="1"/>
  <c r="C18" i="12"/>
  <c r="C23" i="12" s="1"/>
  <c r="D30" i="6"/>
  <c r="C15" i="76"/>
  <c r="C18" i="76"/>
  <c r="C15" i="15"/>
  <c r="C18" i="15"/>
  <c r="F68" i="76"/>
  <c r="J29" i="76"/>
  <c r="C17" i="44"/>
  <c r="C20" i="44"/>
  <c r="F68" i="74"/>
  <c r="W9" i="39"/>
  <c r="AC9" i="39"/>
  <c r="V49" i="39" s="1"/>
  <c r="I49" i="39" s="1"/>
  <c r="W7" i="34"/>
  <c r="E42" i="37"/>
  <c r="R43" i="37"/>
  <c r="F9" i="39"/>
  <c r="H9" i="39"/>
  <c r="E36" i="36"/>
  <c r="R37" i="36"/>
  <c r="B2" i="75"/>
  <c r="D10" i="12" s="1"/>
  <c r="D8" i="12"/>
  <c r="T16" i="1"/>
  <c r="J29" i="74"/>
  <c r="D16" i="6"/>
  <c r="R19" i="6"/>
  <c r="D27" i="6"/>
  <c r="R24" i="6"/>
  <c r="R25" i="6"/>
  <c r="A20" i="64"/>
  <c r="A20" i="51"/>
  <c r="B15" i="63" s="1"/>
  <c r="N5" i="54"/>
  <c r="B43" i="63" s="1"/>
  <c r="A6" i="64"/>
  <c r="A6" i="51"/>
  <c r="B7" i="63" s="1"/>
  <c r="R23" i="6"/>
  <c r="R10" i="1" s="1"/>
  <c r="F7" i="34"/>
  <c r="C18" i="43"/>
  <c r="J48" i="35"/>
  <c r="K48" i="35" s="1"/>
  <c r="L48" i="35" s="1"/>
  <c r="M48" i="35" s="1"/>
  <c r="N48" i="35" s="1"/>
  <c r="O48" i="35" s="1"/>
  <c r="H7" i="35" s="1"/>
  <c r="J7" i="35"/>
  <c r="H7" i="34"/>
  <c r="M21" i="76"/>
  <c r="F35" i="76"/>
  <c r="M21" i="15"/>
  <c r="M23" i="44"/>
  <c r="F35" i="15"/>
  <c r="F35" i="74"/>
  <c r="F37" i="44"/>
  <c r="M21" i="74"/>
  <c r="F7" i="35" l="1"/>
  <c r="C10" i="59"/>
  <c r="D11" i="59"/>
  <c r="C19" i="74"/>
  <c r="C20" i="74" s="1"/>
  <c r="L67" i="40"/>
  <c r="M65" i="40"/>
  <c r="C36" i="44"/>
  <c r="J22" i="44"/>
  <c r="J20" i="76"/>
  <c r="F62" i="76"/>
  <c r="C61" i="76" s="1"/>
  <c r="C58" i="76" s="1"/>
  <c r="C34" i="76"/>
  <c r="C31" i="76" s="1"/>
  <c r="C19" i="15"/>
  <c r="C20" i="15" s="1"/>
  <c r="C23" i="15" s="1"/>
  <c r="J20" i="15"/>
  <c r="C34" i="15"/>
  <c r="C31" i="15" s="1"/>
  <c r="F62" i="15"/>
  <c r="C61" i="15" s="1"/>
  <c r="C58" i="15" s="1"/>
  <c r="D31" i="6"/>
  <c r="I5" i="6" s="1"/>
  <c r="B20" i="31"/>
  <c r="C21" i="44"/>
  <c r="C22" i="44" s="1"/>
  <c r="C28" i="44" s="1"/>
  <c r="C19" i="76"/>
  <c r="F62" i="74"/>
  <c r="C61" i="74" s="1"/>
  <c r="C58" i="74" s="1"/>
  <c r="C34" i="74"/>
  <c r="C31" i="74" s="1"/>
  <c r="J20" i="74"/>
  <c r="AC7" i="35"/>
  <c r="V38" i="35" s="1"/>
  <c r="I38" i="35" s="1"/>
  <c r="W7" i="35"/>
  <c r="U7" i="35"/>
  <c r="AB7" i="35"/>
  <c r="T38" i="35" s="1"/>
  <c r="G38" i="35" s="1"/>
  <c r="AA7" i="34"/>
  <c r="R49" i="34" s="1"/>
  <c r="S7" i="34"/>
  <c r="R6" i="1"/>
  <c r="R16" i="1" s="1"/>
  <c r="R27" i="6"/>
  <c r="C36" i="36"/>
  <c r="C37" i="36"/>
  <c r="B3" i="36" s="1"/>
  <c r="B2" i="36" s="1"/>
  <c r="U9" i="39"/>
  <c r="AB9" i="39"/>
  <c r="T49" i="39" s="1"/>
  <c r="G49" i="39" s="1"/>
  <c r="C43" i="37"/>
  <c r="B3" i="37" s="1"/>
  <c r="B2" i="37" s="1"/>
  <c r="C42" i="37"/>
  <c r="I53" i="34"/>
  <c r="J53" i="34" s="1"/>
  <c r="I53" i="39"/>
  <c r="J53" i="39" s="1"/>
  <c r="U7" i="34"/>
  <c r="AB7" i="34"/>
  <c r="T49" i="34" s="1"/>
  <c r="G49" i="34" s="1"/>
  <c r="AA7" i="35"/>
  <c r="R38" i="35" s="1"/>
  <c r="S7" i="35"/>
  <c r="C19" i="43"/>
  <c r="C25" i="43" s="1"/>
  <c r="C24" i="43" s="1"/>
  <c r="I6" i="6"/>
  <c r="E41" i="36"/>
  <c r="F41" i="36" s="1"/>
  <c r="E40" i="36"/>
  <c r="F40" i="36" s="1"/>
  <c r="I41" i="36"/>
  <c r="J41" i="36" s="1"/>
  <c r="AA9" i="39"/>
  <c r="R49" i="39" s="1"/>
  <c r="S9" i="39"/>
  <c r="E46" i="37"/>
  <c r="F46" i="37" s="1"/>
  <c r="E47" i="37"/>
  <c r="F47" i="37" s="1"/>
  <c r="I47" i="37"/>
  <c r="J47" i="37" s="1"/>
  <c r="D10" i="59" l="1"/>
  <c r="C9" i="59"/>
  <c r="C23" i="74"/>
  <c r="C26" i="74"/>
  <c r="N65" i="40"/>
  <c r="N67" i="40" s="1"/>
  <c r="M67" i="40"/>
  <c r="C20" i="76"/>
  <c r="C26" i="76" s="1"/>
  <c r="C26" i="15"/>
  <c r="C29" i="15" s="1"/>
  <c r="C22" i="43"/>
  <c r="C21" i="43" s="1"/>
  <c r="C28" i="43" s="1"/>
  <c r="C30" i="43" s="1"/>
  <c r="C32" i="43" s="1"/>
  <c r="B2" i="43" s="1"/>
  <c r="B5" i="43" s="1"/>
  <c r="C25" i="44"/>
  <c r="C31" i="44" s="1"/>
  <c r="J21" i="44" s="1"/>
  <c r="J19" i="44" s="1"/>
  <c r="E49" i="39"/>
  <c r="R50" i="39"/>
  <c r="E38" i="35"/>
  <c r="R39" i="35"/>
  <c r="G53" i="39"/>
  <c r="H53" i="39" s="1"/>
  <c r="G54" i="39"/>
  <c r="H54" i="39" s="1"/>
  <c r="G42" i="35"/>
  <c r="H42" i="35" s="1"/>
  <c r="G43" i="35"/>
  <c r="H43" i="35" s="1"/>
  <c r="G53" i="34"/>
  <c r="H53" i="34" s="1"/>
  <c r="G54" i="34"/>
  <c r="H54" i="34" s="1"/>
  <c r="E49" i="34"/>
  <c r="R50" i="34"/>
  <c r="I42" i="35"/>
  <c r="J42" i="35" s="1"/>
  <c r="I43" i="35"/>
  <c r="J43" i="35" s="1"/>
  <c r="T9" i="59" l="1"/>
  <c r="C8" i="59"/>
  <c r="D9" i="59"/>
  <c r="C29" i="74"/>
  <c r="J19" i="74" s="1"/>
  <c r="J17" i="74" s="1"/>
  <c r="F9" i="40"/>
  <c r="J9" i="40"/>
  <c r="H9" i="40"/>
  <c r="C38" i="44"/>
  <c r="J16" i="44"/>
  <c r="J24" i="44" s="1"/>
  <c r="B4" i="43"/>
  <c r="C23" i="76"/>
  <c r="C29" i="76" s="1"/>
  <c r="C56" i="76" s="1"/>
  <c r="C63" i="76" s="1"/>
  <c r="B3" i="43"/>
  <c r="Q51" i="44"/>
  <c r="C35" i="44"/>
  <c r="C33" i="44" s="1"/>
  <c r="C15" i="44"/>
  <c r="Q72" i="44" s="1"/>
  <c r="E54" i="34"/>
  <c r="F54" i="34" s="1"/>
  <c r="E53" i="34"/>
  <c r="F53" i="34" s="1"/>
  <c r="I54" i="34"/>
  <c r="J54" i="34" s="1"/>
  <c r="E42" i="35"/>
  <c r="F42" i="35" s="1"/>
  <c r="E43" i="35"/>
  <c r="F43" i="35" s="1"/>
  <c r="E53" i="39"/>
  <c r="F53" i="39" s="1"/>
  <c r="E54" i="39"/>
  <c r="F54" i="39" s="1"/>
  <c r="I54" i="39"/>
  <c r="J54" i="39" s="1"/>
  <c r="C49" i="34"/>
  <c r="C50" i="34"/>
  <c r="B3" i="34" s="1"/>
  <c r="C13" i="15"/>
  <c r="J14" i="15"/>
  <c r="Q50" i="15"/>
  <c r="C36" i="15"/>
  <c r="J19" i="15"/>
  <c r="J17" i="15" s="1"/>
  <c r="C56" i="15"/>
  <c r="C63" i="15" s="1"/>
  <c r="C38" i="35"/>
  <c r="C39" i="35"/>
  <c r="B3" i="35" s="1"/>
  <c r="B2" i="35" s="1"/>
  <c r="C50" i="39"/>
  <c r="C49" i="39"/>
  <c r="C7" i="59" l="1"/>
  <c r="D8" i="59"/>
  <c r="J15" i="44"/>
  <c r="J25" i="44" s="1"/>
  <c r="J18" i="44" s="1"/>
  <c r="J27" i="44" s="1"/>
  <c r="C56" i="74"/>
  <c r="C63" i="74" s="1"/>
  <c r="C13" i="74"/>
  <c r="C55" i="74" s="1"/>
  <c r="C64" i="74" s="1"/>
  <c r="J14" i="74"/>
  <c r="J13" i="74" s="1"/>
  <c r="J23" i="74" s="1"/>
  <c r="Q50" i="74"/>
  <c r="C36" i="74"/>
  <c r="W9" i="40"/>
  <c r="AC9" i="40"/>
  <c r="V44" i="40" s="1"/>
  <c r="I44" i="40" s="1"/>
  <c r="AB9" i="40"/>
  <c r="T44" i="40" s="1"/>
  <c r="G44" i="40" s="1"/>
  <c r="U9" i="40"/>
  <c r="S9" i="40"/>
  <c r="AA9" i="40"/>
  <c r="R44" i="40" s="1"/>
  <c r="C39" i="44"/>
  <c r="C32" i="44" s="1"/>
  <c r="C42" i="44" s="1"/>
  <c r="J22" i="74"/>
  <c r="J16" i="74" s="1"/>
  <c r="J25" i="74" s="1"/>
  <c r="J19" i="76"/>
  <c r="J17" i="76" s="1"/>
  <c r="C13" i="76"/>
  <c r="C43" i="44"/>
  <c r="Q50" i="76"/>
  <c r="J14" i="76"/>
  <c r="C36" i="76"/>
  <c r="J13" i="15"/>
  <c r="J23" i="15" s="1"/>
  <c r="J22" i="15"/>
  <c r="C8" i="12"/>
  <c r="B2" i="34"/>
  <c r="C10" i="12" s="1"/>
  <c r="B59" i="39"/>
  <c r="F59" i="39" s="1"/>
  <c r="B61" i="39"/>
  <c r="F61" i="39" s="1"/>
  <c r="B63" i="39"/>
  <c r="F63" i="39" s="1"/>
  <c r="B65" i="39"/>
  <c r="F65" i="39" s="1"/>
  <c r="B67" i="39"/>
  <c r="F67" i="39" s="1"/>
  <c r="B60" i="39"/>
  <c r="F60" i="39" s="1"/>
  <c r="B62" i="39"/>
  <c r="F62" i="39" s="1"/>
  <c r="B64" i="39"/>
  <c r="F64" i="39" s="1"/>
  <c r="B66" i="39"/>
  <c r="F66" i="39" s="1"/>
  <c r="B58" i="39"/>
  <c r="F58" i="39" s="1"/>
  <c r="Q71" i="15"/>
  <c r="J35" i="15"/>
  <c r="C37" i="15"/>
  <c r="C30" i="15" s="1"/>
  <c r="C39" i="15" s="1"/>
  <c r="C55" i="15"/>
  <c r="C64" i="15" s="1"/>
  <c r="C57" i="15" s="1"/>
  <c r="C66" i="15" s="1"/>
  <c r="C67" i="15" s="1"/>
  <c r="C6" i="59" l="1"/>
  <c r="D7" i="59"/>
  <c r="Q71" i="74"/>
  <c r="J35" i="74"/>
  <c r="C57" i="74"/>
  <c r="C66" i="74" s="1"/>
  <c r="C67" i="74" s="1"/>
  <c r="C70" i="74" s="1"/>
  <c r="C37" i="74"/>
  <c r="C30" i="74" s="1"/>
  <c r="C39" i="74" s="1"/>
  <c r="J39" i="74" s="1"/>
  <c r="J40" i="74" s="1"/>
  <c r="R45" i="40"/>
  <c r="E44" i="40"/>
  <c r="G49" i="40"/>
  <c r="H49" i="40" s="1"/>
  <c r="G48" i="40"/>
  <c r="H48" i="40" s="1"/>
  <c r="I48" i="40"/>
  <c r="J48" i="40" s="1"/>
  <c r="I49" i="40"/>
  <c r="J49" i="40" s="1"/>
  <c r="C44" i="44"/>
  <c r="C45" i="44" s="1"/>
  <c r="B2" i="44" s="1"/>
  <c r="J35" i="76"/>
  <c r="C37" i="76"/>
  <c r="C30" i="76" s="1"/>
  <c r="C39" i="76" s="1"/>
  <c r="Q70" i="76" s="1"/>
  <c r="Q71" i="76"/>
  <c r="C55" i="76"/>
  <c r="C64" i="76" s="1"/>
  <c r="C57" i="76" s="1"/>
  <c r="C66" i="76" s="1"/>
  <c r="C67" i="76" s="1"/>
  <c r="C70" i="76" s="1"/>
  <c r="F68" i="39"/>
  <c r="B2" i="39" s="1"/>
  <c r="B4" i="39" s="1"/>
  <c r="J22" i="76"/>
  <c r="J13" i="76"/>
  <c r="J23" i="76" s="1"/>
  <c r="J16" i="15"/>
  <c r="J25" i="15" s="1"/>
  <c r="Q71" i="44"/>
  <c r="Q70" i="44" s="1"/>
  <c r="Q70" i="15"/>
  <c r="Q69" i="15" s="1"/>
  <c r="C40" i="15"/>
  <c r="C46" i="15" s="1"/>
  <c r="C70" i="15"/>
  <c r="J39" i="15"/>
  <c r="J40" i="15" s="1"/>
  <c r="L52" i="44"/>
  <c r="L51" i="76"/>
  <c r="C21" i="9"/>
  <c r="C19" i="9"/>
  <c r="L51" i="74"/>
  <c r="L51" i="15"/>
  <c r="C5" i="59" l="1"/>
  <c r="D6" i="59"/>
  <c r="C40" i="74"/>
  <c r="J42" i="74" s="1"/>
  <c r="J43" i="74" s="1"/>
  <c r="Q70" i="74"/>
  <c r="Q69" i="74" s="1"/>
  <c r="Q68" i="74"/>
  <c r="C44" i="40"/>
  <c r="C45" i="40"/>
  <c r="E48" i="40"/>
  <c r="F48" i="40" s="1"/>
  <c r="E49" i="40"/>
  <c r="F49" i="40" s="1"/>
  <c r="Q69" i="76"/>
  <c r="J39" i="76"/>
  <c r="J40" i="76" s="1"/>
  <c r="B3" i="39"/>
  <c r="Q68" i="76"/>
  <c r="C40" i="76"/>
  <c r="C46" i="76" s="1"/>
  <c r="L43" i="9"/>
  <c r="B5" i="39"/>
  <c r="J16" i="76"/>
  <c r="J25" i="76" s="1"/>
  <c r="Q68" i="15"/>
  <c r="C43" i="15"/>
  <c r="Q48" i="15"/>
  <c r="Q54" i="15" s="1"/>
  <c r="B2" i="15"/>
  <c r="Q66" i="15"/>
  <c r="Q76" i="15" s="1"/>
  <c r="Q57" i="15"/>
  <c r="Q63" i="15" s="1"/>
  <c r="J42" i="15"/>
  <c r="J43" i="15" s="1"/>
  <c r="L58" i="44"/>
  <c r="L61" i="44" s="1"/>
  <c r="L47" i="44" s="1"/>
  <c r="Q69" i="44"/>
  <c r="B3" i="44"/>
  <c r="B4" i="44"/>
  <c r="B5" i="44"/>
  <c r="C20" i="9"/>
  <c r="D5" i="59" l="1"/>
  <c r="T5" i="59"/>
  <c r="M20" i="46"/>
  <c r="Q48" i="74"/>
  <c r="Q54" i="74" s="1"/>
  <c r="C43" i="74"/>
  <c r="Q57" i="74"/>
  <c r="Q63" i="74" s="1"/>
  <c r="B2" i="74"/>
  <c r="F10" i="12" s="1"/>
  <c r="C44" i="74"/>
  <c r="C46" i="74"/>
  <c r="Q66" i="74"/>
  <c r="Q76" i="74" s="1"/>
  <c r="B61" i="40"/>
  <c r="F61" i="40" s="1"/>
  <c r="B59" i="40"/>
  <c r="F59" i="40" s="1"/>
  <c r="B57" i="40"/>
  <c r="F57" i="40" s="1"/>
  <c r="B53" i="40"/>
  <c r="F53" i="40" s="1"/>
  <c r="B62" i="40"/>
  <c r="F62" i="40" s="1"/>
  <c r="B55" i="40"/>
  <c r="F55" i="40" s="1"/>
  <c r="B60" i="40"/>
  <c r="F60" i="40" s="1"/>
  <c r="F63" i="40"/>
  <c r="B2" i="40" s="1"/>
  <c r="B56" i="40"/>
  <c r="F56" i="40" s="1"/>
  <c r="B54" i="40"/>
  <c r="F54" i="40" s="1"/>
  <c r="B58" i="40"/>
  <c r="F58" i="40" s="1"/>
  <c r="C43" i="76"/>
  <c r="B2" i="76"/>
  <c r="B3" i="76" s="1"/>
  <c r="E8" i="12" s="1"/>
  <c r="Q57" i="76"/>
  <c r="Q63" i="76" s="1"/>
  <c r="Q66" i="76"/>
  <c r="Q76" i="76" s="1"/>
  <c r="J42" i="76"/>
  <c r="J43" i="76" s="1"/>
  <c r="Q48" i="76"/>
  <c r="Q54" i="76" s="1"/>
  <c r="Q68" i="44"/>
  <c r="Q77" i="44" s="1"/>
  <c r="Q59" i="44"/>
  <c r="Q64" i="44" s="1"/>
  <c r="B3" i="15"/>
  <c r="B3" i="74" l="1"/>
  <c r="F8" i="12" s="1"/>
  <c r="B5" i="40"/>
  <c r="B4" i="40"/>
  <c r="B3" i="40"/>
  <c r="E10" i="12"/>
  <c r="C6" i="12" s="1"/>
  <c r="C29" i="12" s="1"/>
  <c r="C24" i="12" l="1"/>
  <c r="C28" i="12" s="1"/>
  <c r="C26" i="12" s="1"/>
  <c r="C31" i="12" s="1"/>
  <c r="C30" i="12" s="1"/>
  <c r="C35" i="12" l="1"/>
  <c r="C33" i="12" s="1"/>
  <c r="C36" i="12" s="1"/>
  <c r="B2" i="12" s="1"/>
  <c r="B4" i="12" s="1"/>
  <c r="D19" i="9"/>
  <c r="D21" i="9"/>
  <c r="B3" i="12" l="1"/>
  <c r="G19" i="9"/>
  <c r="C32" i="9" s="1"/>
  <c r="L44" i="9"/>
  <c r="D22" i="9"/>
  <c r="B5" i="12"/>
  <c r="G21" i="9"/>
  <c r="D20" i="9"/>
  <c r="G22" i="9" l="1"/>
  <c r="N43" i="9"/>
  <c r="G20" i="9"/>
  <c r="C34" i="9"/>
  <c r="O43" i="9"/>
  <c r="O38" i="9"/>
  <c r="C33" i="9"/>
  <c r="C42" i="9"/>
  <c r="C35" i="9"/>
  <c r="F42" i="9" s="1"/>
  <c r="D42" i="9" l="1"/>
  <c r="Q5" i="54" s="1"/>
  <c r="B47" i="63" s="1"/>
  <c r="N38" i="9"/>
  <c r="K28" i="9" s="1"/>
  <c r="C44" i="9"/>
  <c r="D63" i="9"/>
  <c r="N68" i="9"/>
  <c r="D14" i="66"/>
  <c r="R5" i="54"/>
  <c r="B48" i="63" s="1"/>
  <c r="K25" i="9"/>
  <c r="K26" i="9"/>
  <c r="E42" i="9"/>
  <c r="P5" i="54" s="1"/>
  <c r="B46" i="63" s="1"/>
  <c r="M38" i="9"/>
  <c r="K27" i="9" s="1"/>
  <c r="B5" i="66" l="1"/>
  <c r="F14" i="66"/>
  <c r="E14" i="66"/>
  <c r="C103" i="9"/>
  <c r="C111" i="9"/>
  <c r="C104" i="9" s="1"/>
  <c r="C90" i="9"/>
  <c r="C82" i="9"/>
  <c r="C81" i="9" s="1"/>
  <c r="C85" i="9" s="1"/>
  <c r="C86" i="9" s="1"/>
  <c r="D72" i="9" s="1"/>
  <c r="D73" i="9"/>
  <c r="N73" i="9" s="1"/>
  <c r="D71" i="9"/>
  <c r="D66" i="9" s="1"/>
  <c r="N72" i="9" s="1"/>
  <c r="C96" i="9"/>
  <c r="C91" i="9" s="1"/>
  <c r="D70" i="9"/>
  <c r="N69" i="9"/>
  <c r="E44" i="9"/>
  <c r="O39" i="9"/>
  <c r="D44" i="9"/>
  <c r="F44" i="9"/>
  <c r="G14" i="66"/>
  <c r="B6" i="66" s="1"/>
  <c r="R6" i="54" l="1"/>
  <c r="B50" i="63" s="1"/>
  <c r="K29" i="9"/>
  <c r="K30" i="9" s="1"/>
  <c r="M87" i="9"/>
  <c r="N87" i="9" s="1"/>
  <c r="M85" i="9"/>
  <c r="N85" i="9" s="1"/>
  <c r="M83" i="9"/>
  <c r="N83" i="9" s="1"/>
  <c r="M86" i="9"/>
  <c r="N86" i="9" s="1"/>
  <c r="M84" i="9"/>
  <c r="N84" i="9" s="1"/>
  <c r="M88" i="9"/>
  <c r="N88" i="9" s="1"/>
  <c r="C97" i="9"/>
  <c r="C113" i="9"/>
  <c r="D6" i="66"/>
  <c r="C6" i="66"/>
  <c r="C5" i="66"/>
  <c r="D5" i="66"/>
  <c r="C114" i="9" l="1"/>
  <c r="E114" i="9" s="1"/>
  <c r="E115" i="9" s="1"/>
  <c r="C98" i="9"/>
  <c r="E98" i="9" s="1"/>
  <c r="E99" i="9" s="1"/>
  <c r="N89" i="9"/>
  <c r="O89" i="9" s="1"/>
  <c r="C99" i="9" l="1"/>
  <c r="C115" i="9"/>
  <c r="D76" i="9" s="1"/>
  <c r="D74" i="9" s="1"/>
  <c r="N74" i="9" s="1"/>
  <c r="O77" i="9" s="1"/>
  <c r="O78" i="9" s="1"/>
  <c r="O79" i="9" l="1"/>
  <c r="C46" i="9" s="1"/>
  <c r="Q77" i="9"/>
  <c r="O81" i="9" l="1"/>
  <c r="O80" i="9"/>
  <c r="D46" i="9"/>
  <c r="I14" i="66"/>
  <c r="B8" i="66" s="1"/>
  <c r="F46" i="9"/>
  <c r="E46" i="9"/>
  <c r="O41" i="9"/>
  <c r="R8" i="54" s="1"/>
  <c r="B54" i="63" s="1"/>
  <c r="K33" i="9"/>
  <c r="K34" i="9" l="1"/>
  <c r="D8" i="66"/>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<sst xmlns="http://schemas.openxmlformats.org/spreadsheetml/2006/main" count="8980" uniqueCount="3544">
  <si>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</si>
  <si>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</si>
  <si>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</si>
  <si>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</si>
  <si>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</si>
  <si>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</si>
  <si>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</si>
  <si>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</si>
  <si>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</si>
  <si>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</si>
  <si>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</si>
  <si>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</si>
  <si>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</si>
  <si>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</si>
  <si>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</si>
  <si>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</si>
  <si>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</si>
  <si>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</si>
  <si>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</si>
  <si>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</si>
  <si>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</si>
  <si>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</si>
  <si>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</si>
  <si>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</si>
  <si>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</si>
  <si>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</si>
  <si>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</si>
  <si>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</si>
  <si>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</si>
  <si>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</si>
  <si>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</si>
  <si>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</si>
  <si>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</si>
  <si>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</si>
  <si>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</si>
  <si>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</si>
  <si>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</si>
  <si>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</si>
  <si>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</si>
  <si>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</si>
  <si>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</si>
  <si>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</si>
  <si>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</si>
  <si>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</si>
  <si>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</si>
  <si>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</si>
  <si>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</si>
  <si>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</si>
  <si>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</si>
  <si>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</si>
  <si>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</si>
  <si>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</si>
  <si>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</si>
  <si>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</si>
  <si>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</si>
  <si>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</si>
  <si>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</si>
  <si>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</si>
  <si>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</si>
  <si>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</si>
  <si>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</si>
  <si>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</si>
  <si>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</si>
  <si>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</si>
  <si>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</si>
  <si>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</si>
  <si>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</si>
  <si>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</si>
  <si>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</si>
  <si>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</si>
  <si>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</si>
  <si>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</si>
  <si>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</si>
  <si>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</si>
  <si>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</si>
  <si>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</si>
  <si>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</si>
  <si>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</si>
  <si>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</si>
  <si>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</si>
  <si>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</si>
  <si>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</si>
  <si>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</si>
  <si>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</si>
  <si>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</si>
  <si>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</si>
  <si>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</si>
  <si>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</si>
  <si>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</si>
  <si>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</si>
  <si>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</si>
  <si>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</si>
  <si>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</si>
  <si>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</si>
  <si>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</si>
  <si>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</si>
  <si>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</si>
  <si>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</si>
  <si>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</si>
  <si>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</si>
  <si>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</si>
  <si>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</si>
  <si>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</si>
  <si>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</si>
  <si>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</si>
  <si>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</si>
  <si>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</si>
  <si>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</si>
  <si>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</si>
  <si>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</si>
  <si>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</si>
  <si>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</si>
  <si>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</si>
  <si>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</si>
  <si>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</si>
  <si>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</si>
  <si>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</si>
  <si>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</si>
  <si>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</si>
  <si>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</si>
  <si>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</si>
  <si>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</si>
  <si>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</si>
  <si>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</si>
  <si>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</si>
  <si>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</si>
  <si>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</si>
  <si>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</si>
  <si>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</si>
  <si>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</si>
  <si>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</si>
  <si>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</si>
  <si>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</si>
  <si>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</si>
  <si>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</si>
  <si>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</si>
  <si>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</si>
  <si>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</si>
  <si>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</si>
  <si>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</si>
  <si>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</si>
  <si>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</si>
  <si>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</si>
  <si>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</si>
  <si>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</si>
  <si>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</si>
  <si>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</si>
  <si>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</si>
  <si>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</si>
  <si>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</si>
  <si>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</si>
  <si>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</si>
  <si>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</si>
  <si>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</si>
  <si>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</si>
  <si>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</si>
  <si>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</si>
  <si>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</si>
  <si>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</si>
  <si>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</si>
  <si>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</si>
  <si>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</si>
  <si>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</si>
  <si>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</si>
  <si>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</si>
  <si>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</si>
  <si>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</si>
  <si>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</si>
  <si>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</si>
  <si>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</si>
  <si>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</si>
  <si>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</si>
  <si>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</si>
  <si>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</si>
  <si>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</si>
  <si>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</si>
  <si>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</si>
  <si>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</si>
  <si>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</si>
  <si>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</si>
  <si>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</si>
  <si>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</si>
  <si>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</si>
  <si>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</si>
  <si>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</si>
  <si>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</si>
  <si>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</si>
  <si>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</si>
  <si>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</si>
  <si>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</si>
  <si>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</si>
  <si>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</si>
  <si>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</si>
  <si>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</si>
  <si>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</si>
  <si>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</si>
  <si>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</si>
  <si>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</si>
  <si>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</si>
  <si>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</si>
  <si>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</si>
  <si>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</si>
  <si>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</si>
  <si>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</si>
  <si>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</si>
  <si>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</si>
  <si>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</si>
  <si>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</si>
  <si>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</si>
  <si>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</si>
  <si>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</si>
  <si>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</si>
  <si>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</si>
  <si>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</si>
  <si>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</si>
  <si>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</si>
  <si>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</si>
  <si>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</si>
  <si>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</si>
  <si>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</si>
  <si>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</si>
  <si>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</si>
  <si>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</si>
  <si>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</si>
  <si>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</si>
  <si>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</si>
  <si>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</si>
  <si>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</si>
  <si>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</si>
  <si>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</si>
  <si>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</si>
  <si>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</si>
  <si>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</si>
  <si>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</si>
  <si>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</si>
  <si>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</si>
  <si>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</si>
  <si>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</si>
  <si>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</si>
  <si>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</si>
  <si>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</si>
  <si>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</si>
  <si>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</si>
  <si>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</si>
  <si>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</si>
  <si>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</si>
  <si>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</si>
  <si>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</si>
  <si>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</si>
  <si>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</si>
  <si>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</si>
  <si>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</si>
  <si>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</si>
  <si>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</si>
  <si>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</si>
  <si>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</si>
  <si>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</si>
  <si>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</si>
  <si>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</si>
  <si>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</si>
  <si>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</si>
  <si>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</si>
  <si>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</si>
  <si>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</si>
  <si>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</si>
  <si>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</si>
  <si>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</si>
  <si>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</si>
  <si>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</si>
  <si>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</si>
  <si>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</si>
  <si>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</si>
  <si>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</si>
  <si>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</si>
  <si>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</si>
  <si>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</si>
  <si>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</si>
  <si>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</si>
  <si>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</si>
  <si>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</si>
  <si>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</si>
  <si>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</si>
  <si>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</si>
  <si>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</si>
  <si>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</si>
  <si>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</si>
  <si>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</si>
  <si>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</si>
  <si>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</si>
  <si>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</si>
  <si>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</si>
  <si>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</si>
  <si>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</si>
  <si>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</si>
  <si>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</si>
  <si>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</si>
  <si>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</si>
  <si>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</si>
  <si>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</si>
  <si>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</si>
  <si>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</si>
  <si>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</si>
  <si>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</si>
  <si>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</si>
  <si>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</si>
  <si>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</si>
  <si>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</si>
  <si>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</si>
  <si>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</si>
  <si>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</si>
  <si>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</si>
  <si>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</si>
  <si>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</si>
  <si>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</si>
  <si>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</si>
  <si>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</si>
  <si>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</si>
  <si>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</si>
  <si>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</si>
  <si>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</si>
  <si>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</si>
  <si>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</si>
  <si>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</si>
  <si>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</si>
  <si>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</si>
  <si>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</si>
  <si>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</si>
  <si>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</si>
  <si>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</si>
  <si>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</si>
  <si>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</si>
  <si>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</si>
  <si>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</si>
  <si>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</si>
  <si>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</si>
  <si>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</si>
  <si>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</si>
  <si>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</si>
  <si>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</si>
  <si>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</si>
  <si>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</si>
  <si>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</si>
  <si>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</si>
  <si>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</si>
  <si>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</si>
  <si>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</si>
  <si>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</si>
  <si>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</si>
  <si>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</si>
  <si>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</si>
  <si>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</si>
  <si>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</si>
  <si>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</si>
  <si>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</si>
  <si>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</si>
  <si>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</si>
  <si>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</si>
  <si>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</si>
  <si>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</si>
  <si>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</si>
  <si>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</si>
  <si>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</si>
  <si>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</si>
  <si>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</si>
  <si>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</si>
  <si>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</si>
  <si>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</si>
  <si>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</si>
  <si>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</si>
  <si>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</si>
  <si>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</si>
  <si>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</si>
  <si>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</si>
  <si>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</si>
  <si>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</si>
  <si>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</si>
  <si>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</si>
  <si>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</si>
  <si>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</si>
  <si>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</si>
  <si>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</si>
  <si>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</si>
  <si>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</si>
  <si>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</si>
  <si>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</si>
  <si>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</si>
  <si>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</si>
  <si>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</si>
  <si>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</si>
  <si>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</si>
  <si>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</si>
  <si>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</si>
  <si>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</si>
  <si>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</si>
  <si>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</si>
  <si>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</si>
  <si>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</si>
  <si>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</si>
  <si>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</si>
  <si>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</si>
  <si>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</si>
  <si>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</si>
  <si>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</si>
  <si>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</si>
  <si>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</si>
  <si>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</si>
  <si>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</si>
  <si>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</si>
  <si>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</si>
  <si>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</si>
  <si>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</si>
  <si>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</si>
  <si>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</si>
  <si>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</si>
  <si>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</si>
  <si>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</si>
  <si>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</si>
  <si>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</si>
  <si>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</si>
  <si>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</si>
  <si>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</si>
  <si>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</si>
  <si>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</si>
  <si>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</si>
  <si>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</si>
  <si>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</si>
  <si>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</si>
  <si>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</si>
  <si>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</si>
  <si>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</si>
  <si>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</si>
  <si>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</si>
  <si>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</si>
  <si>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</si>
  <si>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</si>
  <si>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</si>
  <si>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</si>
  <si>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</si>
  <si>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</si>
  <si>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</si>
  <si>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</si>
  <si>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</si>
  <si>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</si>
  <si>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</si>
  <si>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</si>
  <si>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</si>
  <si>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</si>
  <si>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</si>
  <si>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</si>
  <si>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</si>
  <si>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</si>
  <si>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</si>
  <si>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</si>
  <si>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</si>
  <si>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</si>
  <si>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</si>
  <si>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</si>
  <si>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</si>
  <si>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</si>
  <si>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</si>
  <si>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</si>
  <si>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</si>
  <si>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</si>
  <si>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</si>
  <si>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</si>
  <si>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</si>
  <si>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</si>
  <si>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</si>
  <si>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</si>
  <si>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</si>
  <si>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</si>
  <si>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</si>
  <si>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</si>
  <si>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</si>
  <si>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</si>
  <si>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</si>
  <si>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</si>
  <si>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</si>
  <si>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</si>
  <si>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</si>
  <si>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</si>
  <si>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</si>
  <si>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</si>
  <si>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</si>
  <si>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</si>
  <si>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</si>
  <si>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</si>
  <si>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</si>
  <si>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</si>
  <si>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</si>
  <si>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</si>
  <si>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</si>
  <si>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</si>
  <si>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</si>
  <si>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</si>
  <si>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</si>
  <si>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</si>
  <si>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</si>
  <si>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</si>
  <si>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</si>
  <si>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</si>
  <si>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</si>
  <si>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</si>
  <si>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</si>
  <si>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</si>
  <si>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</si>
  <si>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</si>
  <si>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</si>
  <si>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</si>
  <si>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</si>
  <si>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</si>
  <si>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</si>
  <si>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</si>
  <si>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</si>
  <si>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</si>
  <si>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</si>
  <si>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</si>
  <si>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</si>
  <si>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</si>
  <si>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</si>
  <si>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</si>
  <si>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</si>
  <si>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</si>
  <si>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</si>
  <si>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</si>
  <si>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</si>
  <si>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</si>
  <si>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</si>
  <si>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</si>
  <si>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</si>
  <si>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</si>
  <si>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</si>
  <si>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</si>
  <si>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</si>
  <si>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</si>
  <si>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</si>
  <si>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</si>
  <si>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</si>
  <si>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</si>
  <si>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</si>
  <si>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</si>
  <si>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</si>
  <si>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</si>
  <si>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</si>
  <si>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</si>
  <si>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</si>
  <si>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</si>
  <si>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</si>
  <si>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</si>
  <si>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</si>
  <si>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</si>
  <si>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</si>
  <si>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</si>
  <si>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</si>
  <si>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</si>
  <si>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</si>
  <si>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</si>
  <si>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</si>
  <si>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</si>
  <si>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</si>
  <si>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</si>
  <si>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</si>
  <si>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</si>
  <si>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</si>
  <si>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</si>
  <si>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</si>
  <si>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</si>
  <si>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</si>
  <si>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</si>
  <si>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</si>
  <si>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</si>
  <si>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</si>
  <si>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</si>
  <si>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</si>
  <si>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</si>
  <si>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</si>
  <si>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</si>
  <si>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</si>
  <si>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</si>
  <si>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</si>
  <si>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</si>
  <si>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</si>
  <si>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</si>
  <si>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</si>
  <si>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</si>
  <si>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</si>
  <si>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</si>
  <si>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</si>
  <si>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</si>
  <si>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</si>
  <si>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</si>
  <si>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</si>
  <si>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</si>
  <si>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</si>
  <si>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</si>
  <si>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</si>
  <si>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</si>
  <si>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</si>
  <si>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</si>
  <si>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</si>
  <si>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</si>
  <si>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</si>
  <si>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</si>
  <si>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</si>
  <si>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</si>
  <si>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</si>
  <si>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</si>
  <si>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</si>
  <si>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</si>
  <si>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</si>
  <si>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</si>
  <si>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</si>
  <si>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</si>
  <si>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</si>
  <si>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</si>
  <si>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</si>
  <si>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</si>
  <si>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</si>
  <si>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</si>
  <si>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</si>
  <si>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</si>
  <si>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</si>
  <si>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</si>
  <si>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</si>
  <si>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</si>
  <si>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</si>
  <si>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</si>
  <si>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</si>
  <si>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</si>
  <si>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</si>
  <si>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</si>
  <si>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</si>
  <si>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</si>
  <si>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</si>
  <si>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</si>
  <si>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</si>
  <si>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</si>
  <si>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</si>
  <si>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</si>
  <si>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</si>
  <si>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</si>
  <si>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</si>
  <si>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</si>
  <si>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</si>
  <si>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</si>
  <si>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</si>
  <si>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</si>
  <si>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</si>
  <si>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</si>
  <si>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</si>
  <si>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</si>
  <si>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</si>
  <si>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</si>
  <si>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</si>
  <si>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</si>
  <si>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</si>
  <si>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</si>
  <si>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</si>
  <si>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</si>
  <si>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</si>
  <si>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</si>
  <si>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</si>
  <si>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</si>
  <si>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</si>
  <si>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</si>
  <si>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</si>
  <si>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</si>
  <si>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</si>
  <si>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</si>
  <si>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</si>
  <si>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</si>
  <si>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</si>
  <si>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</si>
  <si>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</si>
  <si>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</si>
  <si>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</si>
  <si>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</si>
  <si>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</si>
  <si>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</si>
  <si>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</si>
  <si>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</si>
  <si>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</si>
  <si>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</si>
  <si>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</si>
  <si>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</si>
  <si>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</si>
  <si>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</si>
  <si>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</si>
  <si>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</si>
  <si>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</si>
  <si>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</si>
  <si>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</si>
  <si>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</si>
  <si>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</si>
  <si>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</si>
  <si>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</si>
  <si>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</si>
  <si>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</si>
  <si>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</si>
  <si>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</si>
  <si>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</si>
  <si>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</si>
  <si>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</si>
  <si>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</si>
  <si>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</si>
  <si>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</si>
  <si>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</si>
  <si>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</si>
  <si>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</si>
  <si>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</si>
  <si>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</si>
  <si>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</si>
  <si>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</si>
  <si>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</si>
  <si>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</si>
  <si>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</si>
  <si>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</si>
  <si>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</si>
  <si>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</si>
  <si>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</si>
  <si>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</si>
  <si>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</si>
  <si>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</si>
  <si>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</si>
  <si>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</si>
  <si>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</si>
  <si>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</si>
  <si>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</si>
  <si>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</si>
  <si>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</si>
  <si>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</si>
  <si>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</si>
  <si>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</si>
  <si>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</si>
  <si>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</si>
  <si>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</si>
  <si>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</si>
  <si>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</si>
  <si>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</si>
  <si>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</si>
  <si>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</si>
  <si>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</si>
  <si>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</si>
  <si>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</si>
  <si>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</si>
  <si>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</si>
  <si>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</si>
  <si>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</si>
  <si>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</si>
  <si>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</si>
  <si>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</si>
  <si>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</si>
  <si>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</si>
  <si>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</si>
  <si>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</si>
  <si>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</si>
  <si>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</si>
  <si>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</si>
  <si>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</si>
  <si>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</si>
  <si>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</si>
  <si>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</si>
  <si>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</si>
  <si>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</si>
  <si>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</si>
  <si>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</si>
  <si>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</si>
  <si>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</si>
  <si>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</si>
  <si>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</si>
  <si>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</si>
  <si>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</si>
  <si>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</si>
  <si>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</si>
  <si>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</si>
  <si>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</si>
  <si>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</si>
  <si>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</si>
  <si>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</si>
  <si>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</si>
  <si>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</si>
  <si>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</si>
  <si>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</si>
  <si>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</si>
  <si>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</si>
  <si>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</si>
  <si>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</si>
  <si>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</si>
  <si>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</si>
  <si>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</si>
  <si>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</si>
  <si>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</si>
  <si>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</si>
  <si>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</si>
  <si>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</si>
  <si>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</si>
  <si>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</si>
  <si>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</si>
  <si>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</si>
  <si>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</si>
  <si>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</si>
  <si>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</si>
  <si>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</si>
  <si>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</si>
  <si>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</si>
  <si>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</si>
  <si>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</si>
  <si>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</si>
  <si>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</si>
  <si>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</si>
  <si>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</si>
  <si>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</si>
  <si>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</si>
  <si>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</si>
  <si>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</si>
  <si>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</si>
  <si>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</si>
  <si>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</si>
  <si>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</si>
  <si>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</si>
  <si>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</si>
  <si>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</si>
  <si>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</si>
  <si>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</si>
  <si>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</si>
  <si>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</si>
  <si>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</si>
  <si>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</si>
  <si>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</si>
  <si>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</si>
  <si>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</si>
  <si>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</si>
  <si>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</si>
  <si>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</si>
  <si>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</si>
  <si>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</si>
  <si>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</si>
  <si>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</si>
  <si>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</si>
  <si>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</si>
  <si>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</si>
  <si>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</si>
  <si>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</si>
  <si>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</si>
  <si>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</si>
  <si>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</si>
  <si>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</si>
  <si>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</si>
  <si>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</si>
  <si>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</si>
  <si>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</si>
  <si>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</si>
  <si>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</si>
  <si>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</si>
  <si>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</si>
  <si>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</si>
  <si>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</si>
  <si>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</si>
  <si>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</si>
  <si>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</si>
  <si>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</si>
  <si>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</si>
  <si>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</si>
  <si>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</si>
  <si>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</si>
  <si>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</si>
  <si>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</si>
  <si>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</si>
  <si>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</si>
  <si>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</si>
  <si>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</si>
  <si>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</si>
  <si>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</si>
  <si>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</si>
  <si>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</si>
  <si>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</si>
  <si>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</si>
  <si>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</si>
  <si>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</si>
  <si>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</si>
  <si>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</si>
  <si>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</si>
  <si>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</si>
  <si>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</si>
  <si>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</si>
  <si>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</si>
  <si>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</si>
  <si>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</si>
  <si>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</si>
  <si>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</si>
  <si>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</si>
  <si>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</si>
  <si>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</si>
  <si>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</si>
  <si>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</si>
  <si>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</si>
  <si>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</si>
  <si>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</si>
  <si>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</si>
  <si>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</si>
  <si>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</si>
  <si>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</si>
  <si>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</si>
  <si>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</si>
  <si>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</si>
  <si>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</si>
  <si>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</si>
  <si>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</si>
  <si>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</si>
  <si>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</si>
  <si>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</si>
  <si>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</si>
  <si>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</si>
  <si>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</si>
  <si>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</si>
  <si>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</si>
  <si>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</si>
  <si>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</si>
  <si>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</si>
  <si>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</si>
  <si>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</si>
  <si>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</si>
  <si>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</si>
  <si>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</si>
  <si>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</si>
  <si>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</si>
  <si>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</si>
  <si>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</si>
  <si>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</si>
  <si>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</si>
  <si>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</si>
  <si>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</si>
  <si>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</si>
  <si>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</si>
  <si>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</si>
  <si>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</si>
  <si>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</si>
  <si>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</si>
  <si>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</si>
  <si>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</si>
  <si>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</si>
  <si>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</si>
  <si>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</si>
  <si>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</si>
  <si>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</si>
  <si>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</si>
  <si>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</si>
  <si>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</si>
  <si>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</si>
  <si>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</si>
  <si>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</si>
  <si>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</si>
  <si>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</si>
  <si>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</si>
  <si>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</si>
  <si>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</si>
  <si>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</si>
  <si>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</si>
  <si>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</si>
  <si>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</si>
  <si>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</si>
  <si>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</si>
  <si>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</si>
  <si>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</si>
  <si>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</si>
  <si>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</si>
  <si>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</si>
  <si>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</si>
  <si>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</si>
  <si>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</si>
  <si>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</si>
  <si>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</si>
  <si>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</si>
  <si>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</si>
  <si>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</si>
  <si>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</si>
  <si>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</si>
  <si>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</si>
  <si>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</si>
  <si>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</si>
  <si>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</si>
  <si>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</si>
  <si>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</si>
  <si>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</si>
  <si>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</si>
  <si>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</si>
  <si>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</si>
  <si>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</si>
  <si>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</si>
  <si>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</si>
  <si>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</si>
  <si>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</si>
  <si>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</si>
  <si>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</si>
  <si>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</si>
  <si>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</si>
  <si>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</si>
  <si>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</si>
  <si>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</si>
  <si>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</si>
  <si>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</si>
  <si>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</si>
  <si>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</si>
  <si>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</si>
  <si>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</si>
  <si>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</si>
  <si>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</si>
  <si>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</si>
  <si>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</si>
  <si>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</si>
  <si>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</si>
  <si>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</si>
  <si>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</si>
  <si>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</si>
  <si>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</si>
  <si>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</si>
  <si>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</si>
  <si>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</si>
  <si>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</si>
  <si>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</si>
  <si>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</si>
  <si>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</si>
  <si>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</si>
  <si>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</si>
  <si>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</si>
  <si>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</si>
  <si>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</si>
  <si>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</si>
  <si>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</si>
  <si>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</si>
  <si>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</si>
  <si>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</si>
  <si>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</si>
  <si>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</si>
  <si>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</si>
  <si>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</si>
  <si>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</si>
  <si>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</si>
  <si>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</si>
  <si>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</si>
  <si>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</si>
  <si>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</si>
  <si>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</si>
  <si>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</si>
  <si>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</si>
  <si>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</si>
  <si>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</si>
  <si>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</si>
  <si>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</si>
  <si>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</si>
  <si>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</si>
  <si>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</si>
  <si>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</si>
  <si>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</si>
  <si>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</si>
  <si>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</si>
  <si>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</si>
  <si>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</si>
  <si>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</si>
  <si>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</si>
  <si>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</si>
  <si>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</si>
  <si>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</si>
  <si>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</si>
  <si>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</si>
  <si>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</si>
  <si>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</si>
  <si>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</si>
  <si>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</si>
  <si>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</si>
  <si>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</si>
  <si>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</si>
  <si>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</si>
  <si>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</si>
  <si>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</si>
  <si>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</si>
  <si>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</si>
  <si>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</si>
  <si>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</si>
  <si>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</si>
  <si>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</si>
  <si>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</si>
  <si>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</si>
  <si>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</si>
  <si>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</si>
  <si>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</si>
  <si>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</si>
  <si>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</si>
  <si>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</si>
  <si>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</si>
  <si>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</si>
  <si>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</si>
  <si>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</si>
  <si>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</si>
  <si>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</si>
  <si>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</si>
  <si>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</si>
  <si>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</si>
  <si>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</si>
  <si>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</si>
  <si>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</si>
  <si>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</si>
  <si>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</si>
  <si>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</si>
  <si>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</si>
  <si>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</si>
  <si>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</si>
  <si>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</si>
  <si>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</si>
  <si>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</si>
  <si>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</si>
  <si>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</si>
  <si>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</si>
  <si>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</si>
  <si>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</si>
  <si>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</si>
  <si>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</si>
  <si>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</si>
  <si>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</si>
  <si>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</si>
  <si>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</si>
  <si>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</si>
  <si>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</si>
  <si>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</si>
  <si>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</si>
  <si>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</si>
  <si>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</si>
  <si>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</si>
  <si>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</si>
  <si>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</si>
  <si>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</si>
  <si>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</si>
  <si>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</si>
  <si>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</si>
  <si>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</si>
  <si>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</si>
  <si>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</si>
  <si>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</si>
  <si>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</si>
  <si>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</si>
  <si>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</si>
  <si>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</si>
  <si>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</si>
  <si>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</si>
  <si>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</si>
  <si>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</si>
  <si>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</si>
  <si>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</si>
  <si>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</si>
  <si>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</si>
  <si>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</si>
  <si>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</si>
  <si>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</si>
  <si>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</si>
  <si>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</si>
  <si>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</si>
  <si>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</si>
  <si>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</si>
  <si>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</si>
  <si>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</si>
  <si>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</si>
  <si>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</si>
  <si>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</si>
  <si>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</si>
  <si>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</si>
  <si>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</si>
  <si>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</si>
  <si>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</si>
  <si>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</si>
  <si>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</si>
  <si>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</si>
  <si>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</si>
  <si>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</si>
  <si>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</si>
  <si>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</si>
  <si>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</si>
  <si>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</si>
  <si>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</si>
  <si>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</si>
  <si>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</si>
  <si>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</si>
  <si>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</si>
  <si>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</si>
  <si>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</si>
  <si>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</si>
  <si>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</si>
  <si>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</si>
  <si>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</si>
  <si>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</si>
  <si>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</si>
  <si>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</si>
  <si>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</si>
  <si>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</si>
  <si>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</si>
  <si>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</si>
  <si>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</si>
  <si>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</si>
  <si>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</si>
  <si>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</si>
  <si>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</si>
  <si>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</si>
  <si>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</si>
  <si>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</si>
  <si>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</si>
  <si>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</si>
  <si>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</si>
  <si>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</si>
  <si>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</si>
  <si>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</si>
  <si>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</si>
  <si>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</si>
  <si>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</si>
  <si>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</si>
  <si>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</si>
  <si>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</si>
  <si>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</si>
  <si>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</si>
  <si>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</si>
  <si>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</si>
  <si>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</si>
  <si>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</si>
  <si>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</si>
  <si>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</si>
  <si>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</si>
  <si>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</si>
  <si>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</si>
  <si>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</si>
  <si>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</si>
  <si>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</si>
  <si>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</si>
  <si>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</si>
  <si>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</si>
  <si>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</si>
  <si>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</si>
  <si>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</si>
  <si>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</si>
  <si>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</si>
  <si>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</si>
  <si>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</si>
  <si>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</si>
  <si>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</si>
  <si>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</si>
  <si>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</si>
  <si>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</si>
  <si>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</si>
  <si>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</si>
  <si>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</si>
  <si>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</si>
  <si>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</si>
  <si>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</si>
  <si>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</si>
  <si>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</si>
  <si>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</si>
  <si>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</si>
  <si>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</si>
  <si>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</si>
  <si>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</si>
  <si>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</si>
  <si>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</si>
  <si>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</si>
  <si>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</si>
  <si>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</si>
  <si>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</si>
  <si>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</si>
  <si>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</si>
  <si>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</si>
  <si>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</si>
  <si>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</si>
  <si>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</si>
  <si>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</si>
  <si>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</si>
  <si>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</si>
  <si>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</si>
  <si>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</si>
  <si>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</si>
  <si>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</si>
  <si>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</si>
  <si>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</si>
  <si>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</si>
  <si>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</si>
  <si>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</si>
  <si>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</si>
  <si>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</si>
  <si>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</si>
  <si>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</si>
  <si>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</si>
  <si>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</si>
  <si>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</si>
  <si>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</si>
  <si>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</si>
  <si>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</si>
  <si>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</si>
  <si>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</si>
  <si>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</si>
  <si>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</si>
  <si>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</si>
  <si>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</si>
  <si>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</si>
  <si>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</si>
  <si>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</si>
  <si>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</si>
  <si>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</si>
  <si>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</si>
  <si>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</si>
  <si>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</si>
  <si>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</si>
  <si>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</si>
  <si>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</si>
  <si>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</si>
  <si>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</si>
  <si>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</si>
  <si>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</si>
  <si>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</si>
  <si>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</si>
  <si>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</si>
  <si>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</si>
  <si>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</si>
  <si>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</si>
  <si>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</si>
  <si>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</si>
  <si>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</si>
  <si>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</si>
  <si>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</si>
  <si>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</si>
  <si>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</si>
  <si>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</si>
  <si>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</si>
  <si>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</si>
  <si>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</si>
  <si>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</si>
  <si>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</si>
  <si>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</si>
  <si>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</si>
  <si>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</si>
  <si>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</si>
  <si>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</si>
  <si>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</si>
  <si>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</si>
  <si>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</si>
  <si>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</si>
  <si>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</si>
  <si>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</si>
  <si>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</si>
  <si>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</si>
  <si>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</si>
  <si>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</si>
  <si>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</si>
  <si>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</si>
  <si>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</si>
  <si>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</si>
  <si>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</si>
  <si>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</si>
  <si>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</si>
  <si>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</si>
  <si>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</si>
  <si>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</si>
  <si>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</si>
  <si>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</si>
  <si>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</si>
  <si>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</si>
  <si>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</si>
  <si>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</si>
  <si>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</si>
  <si>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</si>
  <si>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</si>
  <si>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</si>
  <si>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</si>
  <si>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</si>
  <si>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</si>
  <si>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</si>
  <si>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</si>
  <si>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</si>
  <si>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</si>
  <si>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</si>
  <si>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</si>
  <si>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</si>
  <si>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</si>
  <si>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</si>
  <si>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</si>
  <si>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</si>
  <si>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</si>
  <si>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</si>
  <si>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</si>
  <si>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</si>
  <si>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</si>
  <si>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</si>
  <si>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</si>
  <si>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</si>
  <si>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</si>
  <si>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</si>
  <si>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</si>
  <si>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</si>
  <si>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</si>
  <si>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</si>
  <si>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</si>
  <si>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</si>
  <si>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</si>
  <si>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</si>
  <si>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</si>
  <si>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</si>
  <si>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</si>
  <si>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</si>
  <si>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</si>
  <si>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</si>
  <si>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</si>
  <si>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</si>
  <si>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</si>
  <si>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</si>
  <si>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</si>
  <si>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</si>
  <si>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</si>
  <si>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</si>
  <si>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</si>
  <si>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</si>
  <si>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</si>
  <si>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</si>
  <si>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</si>
  <si>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</si>
  <si>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</si>
  <si>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</si>
  <si>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</si>
  <si>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</si>
  <si>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</si>
  <si>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</si>
  <si>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</si>
  <si>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</si>
  <si>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</si>
  <si>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</si>
  <si>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</si>
  <si>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</si>
  <si>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</si>
  <si>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</si>
  <si>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</si>
  <si>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</si>
  <si>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</si>
  <si>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</si>
  <si>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</si>
  <si>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</si>
  <si>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</si>
  <si>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</si>
  <si>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</si>
  <si>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</si>
  <si>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</si>
  <si>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</si>
  <si>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</si>
  <si>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</si>
  <si>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</si>
  <si>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</si>
  <si>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</si>
  <si>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</si>
  <si>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</si>
  <si>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</si>
  <si>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</si>
  <si>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</si>
  <si>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</si>
  <si>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</si>
  <si>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</si>
  <si>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</si>
  <si>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</si>
  <si>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</si>
  <si>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</si>
  <si>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</si>
  <si>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</si>
  <si>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</si>
  <si>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</si>
  <si>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</si>
  <si>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</si>
  <si>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</si>
  <si>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</si>
  <si>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</si>
  <si>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</si>
  <si>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</si>
  <si>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</si>
  <si>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</si>
  <si>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</si>
  <si>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</si>
  <si>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</si>
  <si>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</si>
  <si>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</si>
  <si>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</si>
  <si>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</si>
  <si>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</si>
  <si>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</si>
  <si>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</si>
  <si>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</si>
  <si>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</si>
  <si>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</si>
  <si>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</si>
  <si>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</si>
  <si>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</si>
  <si>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</si>
  <si>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</si>
  <si>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</si>
  <si>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</si>
  <si>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</si>
  <si>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</si>
  <si>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</si>
  <si>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</si>
  <si>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</si>
  <si>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</si>
  <si>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</si>
  <si>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</si>
  <si>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</si>
  <si>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</si>
  <si>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</si>
  <si>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</si>
  <si>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</si>
  <si>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</si>
  <si>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</si>
  <si>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</si>
  <si>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</si>
  <si>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</si>
  <si>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</si>
  <si>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</si>
  <si>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</si>
  <si>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</si>
  <si>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</si>
  <si>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</si>
  <si>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</si>
  <si>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</si>
  <si>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</si>
  <si>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</si>
  <si>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</si>
  <si>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</si>
  <si>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</si>
  <si>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</si>
  <si>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</si>
  <si>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</si>
  <si>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</si>
  <si>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</si>
  <si>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</si>
  <si>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</si>
  <si>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</si>
  <si>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</si>
  <si>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</si>
  <si>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</si>
  <si>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</si>
  <si>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</si>
  <si>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</si>
  <si>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</si>
  <si>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</si>
  <si>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</si>
  <si>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</si>
  <si>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</si>
  <si>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</si>
  <si>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</si>
  <si>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</si>
  <si>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</si>
  <si>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</si>
  <si>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</si>
  <si>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</si>
  <si>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</si>
  <si>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</si>
  <si>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</si>
  <si>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</si>
  <si>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</si>
  <si>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</si>
  <si>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</si>
  <si>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</si>
  <si>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</si>
  <si>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</si>
  <si>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</si>
  <si>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</si>
  <si>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</si>
  <si>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</si>
  <si>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</si>
  <si>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</si>
  <si>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</si>
  <si>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</si>
  <si>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</si>
  <si>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</si>
  <si>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</si>
  <si>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</si>
  <si>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</si>
  <si>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</si>
  <si>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</si>
  <si>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</si>
  <si>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</si>
  <si>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</si>
  <si>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</si>
  <si>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</si>
  <si>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</si>
  <si>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</si>
  <si>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</si>
  <si>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</si>
  <si>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</si>
  <si>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</si>
  <si>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</si>
  <si>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</si>
  <si>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</si>
  <si>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</si>
  <si>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</si>
  <si>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</si>
  <si>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</si>
  <si>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</si>
  <si>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</si>
  <si>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</si>
  <si>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</si>
  <si>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</si>
  <si>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</si>
  <si>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</si>
  <si>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</si>
  <si>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</si>
  <si>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</si>
  <si>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</si>
  <si>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</si>
  <si>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</si>
  <si>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</si>
  <si>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</si>
  <si>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</si>
  <si>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</si>
  <si>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</si>
  <si>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</si>
  <si>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</si>
  <si>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</si>
  <si>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</si>
  <si>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</si>
  <si>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</si>
  <si>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</si>
  <si>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</si>
  <si>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</si>
  <si>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</si>
  <si>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</si>
  <si>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</si>
  <si>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</si>
  <si>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</si>
  <si>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</si>
  <si>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</si>
  <si>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</si>
  <si>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</si>
  <si>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</si>
  <si>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</si>
  <si>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</si>
  <si>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</si>
  <si>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</si>
  <si>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</si>
  <si>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</si>
  <si>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</si>
  <si>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</si>
  <si>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</si>
  <si>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</si>
  <si>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</si>
  <si>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</si>
  <si>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</si>
  <si>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</si>
  <si>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</si>
  <si>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</si>
  <si>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</si>
  <si>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</si>
  <si>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</si>
  <si>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</si>
  <si>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</si>
  <si>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</si>
  <si>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</si>
  <si>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</si>
  <si>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</si>
  <si>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</si>
  <si>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</si>
  <si>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</si>
  <si>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</si>
  <si>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</si>
  <si>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</si>
  <si>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</si>
  <si>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</si>
  <si>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</si>
  <si>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</si>
  <si>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</si>
  <si>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</si>
  <si>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</si>
  <si>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</si>
  <si>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</si>
  <si>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</si>
  <si>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</si>
  <si>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</si>
  <si>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</si>
  <si>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</si>
  <si>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</si>
  <si>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</si>
  <si>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</si>
  <si>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</si>
  <si>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</si>
  <si>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</si>
  <si>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</si>
  <si>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</si>
  <si>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</si>
  <si>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</si>
  <si>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</si>
  <si>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</si>
  <si>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</si>
  <si>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</si>
  <si>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</si>
  <si>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</si>
  <si>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</si>
  <si>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</si>
  <si>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</si>
  <si>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</si>
  <si>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</si>
  <si>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</si>
  <si>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</si>
  <si>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</si>
  <si>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</si>
  <si>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</si>
  <si>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</si>
  <si>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</si>
  <si>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</si>
  <si>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</si>
  <si>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</si>
  <si>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</si>
  <si>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</si>
  <si>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</si>
  <si>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</si>
  <si>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</si>
  <si>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</si>
  <si>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</si>
  <si>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</si>
  <si>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</si>
  <si>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</si>
  <si>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</si>
  <si>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</si>
  <si>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</si>
  <si>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</si>
  <si>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</si>
  <si>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</si>
  <si>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</si>
  <si>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</si>
  <si>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</si>
  <si>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</si>
  <si>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</si>
  <si>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</si>
  <si>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</si>
  <si>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</si>
  <si>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</si>
  <si>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</si>
  <si>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</si>
  <si>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</si>
  <si>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</si>
  <si>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</si>
  <si>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</si>
  <si>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</si>
  <si>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</si>
  <si>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</si>
  <si>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</si>
  <si>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</si>
  <si>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</si>
  <si>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</si>
  <si>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</si>
  <si>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</si>
  <si>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</si>
  <si>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</si>
  <si>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</si>
  <si>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</si>
  <si>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</si>
  <si>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</si>
  <si>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</si>
  <si>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</si>
  <si>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</si>
  <si>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</si>
  <si>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</si>
  <si>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</si>
  <si>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</si>
  <si>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</si>
  <si>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</si>
  <si>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</si>
  <si>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</si>
  <si>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</si>
  <si>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</si>
  <si>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</si>
  <si>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</si>
  <si>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</si>
  <si>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</si>
  <si>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</si>
  <si>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</si>
  <si>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</si>
  <si>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</si>
  <si>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</si>
  <si>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</si>
  <si>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</si>
  <si>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</si>
  <si>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</si>
  <si>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</si>
  <si>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</si>
  <si>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</si>
  <si>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</si>
  <si>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</si>
  <si>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</si>
  <si>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</si>
  <si>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</si>
  <si>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</si>
  <si>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</si>
  <si>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</si>
  <si>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</si>
  <si>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</si>
  <si>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</si>
  <si>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</si>
  <si>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</si>
  <si>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</si>
  <si>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</si>
  <si>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</si>
  <si>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</si>
  <si>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</si>
  <si>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</si>
  <si>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</si>
  <si>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</si>
  <si>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</si>
  <si>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</si>
  <si>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</si>
  <si>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</si>
  <si>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</si>
  <si>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</si>
  <si>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</si>
  <si>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</si>
  <si>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</si>
  <si>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</si>
  <si>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</si>
  <si>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</si>
  <si>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</si>
  <si>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</si>
  <si>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</si>
  <si>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</si>
  <si>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</si>
  <si>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</si>
  <si>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</si>
  <si>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</si>
  <si>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</si>
  <si>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</si>
  <si>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</si>
  <si>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</si>
  <si>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</si>
  <si>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</si>
  <si>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</si>
  <si>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</si>
  <si>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</si>
  <si>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</si>
  <si>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</si>
  <si>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</si>
  <si>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</si>
  <si>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</si>
  <si>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</si>
  <si>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</si>
  <si>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</si>
  <si>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</si>
  <si>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</si>
  <si>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</si>
  <si>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</si>
  <si>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</si>
  <si>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</si>
  <si>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</si>
  <si>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</si>
  <si>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</si>
  <si>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</si>
  <si>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</si>
  <si>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</si>
  <si>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</si>
  <si>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</si>
  <si>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</si>
  <si>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</si>
  <si>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</si>
  <si>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</si>
  <si>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</si>
  <si>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</si>
  <si>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</si>
  <si>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</si>
  <si>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</si>
  <si>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</si>
  <si>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</si>
  <si>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</si>
  <si>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</si>
  <si>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</si>
  <si>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</si>
  <si>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</si>
  <si>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</si>
  <si>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</si>
  <si>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</si>
  <si>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</si>
  <si>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</si>
  <si>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</si>
  <si>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</si>
  <si>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</si>
  <si>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</si>
  <si>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</si>
  <si>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</si>
  <si>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</si>
  <si>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</si>
  <si>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</si>
  <si>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</si>
  <si>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</si>
  <si>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</si>
  <si>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</si>
  <si>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</si>
  <si>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</si>
  <si>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</si>
  <si>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</si>
  <si>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</si>
  <si>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</si>
  <si>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</si>
  <si>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</si>
  <si>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</si>
  <si>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</si>
  <si>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</si>
  <si>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</si>
  <si>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</si>
  <si>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</si>
  <si>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</si>
  <si>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</si>
  <si>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</si>
  <si>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</si>
  <si>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</si>
  <si>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</si>
  <si>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</si>
  <si>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</si>
  <si>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</si>
  <si>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</si>
  <si>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</si>
  <si>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</si>
  <si>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</si>
  <si>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</si>
  <si>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</si>
  <si>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</si>
  <si>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</si>
  <si>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</si>
  <si>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</si>
  <si>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</si>
  <si>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</si>
  <si>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</si>
  <si>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</si>
  <si>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</si>
  <si>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</si>
  <si>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</si>
  <si>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</si>
  <si>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</si>
  <si>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</si>
  <si>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</si>
  <si>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</si>
  <si>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</si>
  <si>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</si>
  <si>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</si>
  <si>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</si>
  <si>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</si>
  <si>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</si>
  <si>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</si>
  <si>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</si>
  <si>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</si>
  <si>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</si>
  <si>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</si>
  <si>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</si>
  <si>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</si>
  <si>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</si>
  <si>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</si>
  <si>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</si>
  <si>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</si>
  <si>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</si>
  <si>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</si>
  <si>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</si>
  <si>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</si>
  <si>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</si>
  <si>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</si>
  <si>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</si>
  <si>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</si>
  <si>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</si>
  <si>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</si>
  <si>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</si>
  <si>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</si>
  <si>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</si>
  <si>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</si>
  <si>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</si>
  <si>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</si>
  <si>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</si>
  <si>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</si>
  <si>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</si>
  <si>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</si>
  <si>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</si>
  <si>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</si>
  <si>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</si>
  <si>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</si>
  <si>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</si>
  <si>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</si>
  <si>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</si>
  <si>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</si>
  <si>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</si>
  <si>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</si>
  <si>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</si>
  <si>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</si>
  <si>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</si>
  <si>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</si>
  <si>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</si>
  <si>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</si>
  <si>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</si>
  <si>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</si>
  <si>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</si>
  <si>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</si>
  <si>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</si>
  <si>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</si>
  <si>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</si>
  <si>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</si>
  <si>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</si>
  <si>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</si>
  <si>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</si>
  <si>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</si>
  <si>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</si>
  <si>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</si>
  <si>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</si>
  <si>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</si>
  <si>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</si>
  <si>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</si>
  <si>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</si>
  <si>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</si>
  <si>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</si>
  <si>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</si>
  <si>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</si>
  <si>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</si>
  <si>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</si>
  <si>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</si>
  <si>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</si>
  <si>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</si>
  <si>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</si>
  <si>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</si>
  <si>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</si>
  <si>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</si>
  <si>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</si>
  <si>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</si>
  <si>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</si>
  <si>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</si>
  <si>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</si>
  <si>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</si>
  <si>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</si>
  <si>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</si>
  <si>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</si>
  <si>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</si>
  <si>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</si>
  <si>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</si>
  <si>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</si>
  <si>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</si>
  <si>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</si>
  <si>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</si>
  <si>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</si>
  <si>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</si>
  <si>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</si>
  <si>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</si>
  <si>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</si>
  <si>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</si>
  <si>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</si>
  <si>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</si>
  <si>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</si>
  <si>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</si>
  <si>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</si>
  <si>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</si>
  <si>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</si>
  <si>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</si>
  <si>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</si>
  <si>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</si>
  <si>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</si>
  <si>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</si>
  <si>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</si>
  <si>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</si>
  <si>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</si>
  <si>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</si>
  <si>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</si>
  <si>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</si>
  <si>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</si>
  <si>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</si>
  <si>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</si>
  <si>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</si>
  <si>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</si>
  <si>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</si>
  <si>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</si>
  <si>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</si>
  <si>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</si>
  <si>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</si>
  <si>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</si>
  <si>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</si>
  <si>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</si>
  <si>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</si>
  <si>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</si>
  <si>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</si>
  <si>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</si>
  <si>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</si>
  <si>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</si>
  <si>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</si>
  <si>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</si>
  <si>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</si>
  <si>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</si>
  <si>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</si>
  <si>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</si>
  <si>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</si>
  <si>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</si>
  <si>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</si>
  <si>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</si>
  <si>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</si>
  <si>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</si>
  <si>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</si>
  <si>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</si>
  <si>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</si>
  <si>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</si>
  <si>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</si>
  <si>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</si>
  <si>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</si>
  <si>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</si>
  <si>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</si>
  <si>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</si>
  <si>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</si>
  <si>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</si>
  <si>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</si>
  <si>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</si>
  <si>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</si>
  <si>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</si>
  <si>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</si>
  <si>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</si>
  <si>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</si>
  <si>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</si>
  <si>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</si>
  <si>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</si>
  <si>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</si>
  <si>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</si>
  <si>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</si>
  <si>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</si>
  <si>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</si>
  <si>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</si>
  <si>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</si>
  <si>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</si>
  <si>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</si>
  <si>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</si>
  <si>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</si>
  <si>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</si>
  <si>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</si>
  <si>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</si>
  <si>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</si>
  <si>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</si>
  <si>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</si>
  <si>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</si>
  <si>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</si>
  <si>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</si>
  <si>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</si>
  <si>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</si>
  <si>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</si>
  <si>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</si>
  <si>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</si>
  <si>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</si>
  <si>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</si>
  <si>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</si>
  <si>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</si>
  <si>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</si>
  <si>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</si>
  <si>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</si>
  <si>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</si>
  <si>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</si>
  <si>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</si>
  <si>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</si>
  <si>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</si>
  <si>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</si>
  <si>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</si>
  <si>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</si>
  <si>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</si>
  <si>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</si>
  <si>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</si>
  <si>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</si>
  <si>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</si>
  <si>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</si>
  <si>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</si>
  <si>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</si>
  <si>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</si>
  <si>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</si>
  <si>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</si>
  <si>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</si>
  <si>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</si>
  <si>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</si>
  <si>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</si>
  <si>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</si>
  <si>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</si>
  <si>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</si>
  <si>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</si>
  <si>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</si>
  <si>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</si>
  <si>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</si>
  <si>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</si>
  <si>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</si>
  <si>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</si>
  <si>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</si>
  <si>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</si>
  <si>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</si>
  <si>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</si>
  <si>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</si>
  <si>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</si>
  <si>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</si>
  <si>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</si>
  <si>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</si>
  <si>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</si>
  <si>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</si>
  <si>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</si>
  <si>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</si>
  <si>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</si>
  <si>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</si>
  <si>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</si>
  <si>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</si>
  <si>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</si>
  <si>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</si>
  <si>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</si>
  <si>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</si>
  <si>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</si>
  <si>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</si>
  <si>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</si>
  <si>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</si>
  <si>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</si>
  <si>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</si>
  <si>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</si>
  <si>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</si>
  <si>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</si>
  <si>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</si>
  <si>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</si>
  <si>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</si>
  <si>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</si>
  <si>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</si>
  <si>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</si>
  <si>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</si>
  <si>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</si>
  <si>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</si>
  <si>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</si>
  <si>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</si>
  <si>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</si>
  <si>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</si>
  <si>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</si>
  <si>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</si>
  <si>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</si>
  <si>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</si>
  <si>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</si>
  <si>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</si>
  <si>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</si>
  <si>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</si>
  <si>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</si>
  <si>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</si>
  <si>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</si>
  <si>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</si>
  <si>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</si>
  <si>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</si>
  <si>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</si>
  <si>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</si>
  <si>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</si>
  <si>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</si>
  <si>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</si>
  <si>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</si>
  <si>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</si>
  <si>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</si>
  <si>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</si>
  <si>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</si>
  <si>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</si>
  <si>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</si>
  <si>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</si>
  <si>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</si>
  <si>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</si>
  <si>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</si>
  <si>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</si>
  <si>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</si>
  <si>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</si>
  <si>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</si>
  <si>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</si>
  <si>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</si>
  <si>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</si>
  <si>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</si>
  <si>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</si>
  <si>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</si>
  <si>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</si>
  <si>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</si>
  <si>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</si>
  <si>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</si>
  <si>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</si>
  <si>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</si>
  <si>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</si>
  <si>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</si>
  <si>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</si>
  <si>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</si>
  <si>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</si>
  <si>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</si>
  <si>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</si>
  <si>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</si>
  <si>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</si>
  <si>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</si>
  <si>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</si>
  <si>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</si>
  <si>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</si>
  <si>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</si>
  <si>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</si>
  <si>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</si>
  <si>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</si>
  <si>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</si>
  <si>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</si>
  <si>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</si>
  <si>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</si>
  <si>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</si>
  <si>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</si>
  <si>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</si>
  <si>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</si>
  <si>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</si>
  <si>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</si>
  <si>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</si>
  <si>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</si>
  <si>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</si>
  <si>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</si>
  <si>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</si>
  <si>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</si>
  <si>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</si>
  <si>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</si>
  <si>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</si>
  <si>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</si>
  <si>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</si>
  <si>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</si>
  <si>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</si>
  <si>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</si>
  <si>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</si>
  <si>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</si>
  <si>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</si>
  <si>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</si>
  <si>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</si>
  <si>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</si>
  <si>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</si>
  <si>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</si>
  <si>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</si>
  <si>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</si>
  <si>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</si>
  <si>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</si>
  <si>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</si>
  <si>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</si>
  <si>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</si>
  <si>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</si>
  <si>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</si>
  <si>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</si>
  <si>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</si>
  <si>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</si>
  <si>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</si>
  <si>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</si>
  <si>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</si>
  <si>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</si>
  <si>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</si>
  <si>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</si>
  <si>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</si>
  <si>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</si>
  <si>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</si>
  <si>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</si>
  <si>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</si>
  <si>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</si>
  <si>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</si>
  <si>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</si>
  <si>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</si>
  <si>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</si>
  <si>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</si>
  <si>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</si>
  <si>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</si>
  <si>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</si>
  <si>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</si>
  <si>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</si>
  <si>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</si>
  <si>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</si>
  <si>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</si>
  <si>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</si>
  <si>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</si>
  <si>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</si>
  <si>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</si>
  <si>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</si>
  <si>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</si>
  <si>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</si>
  <si>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</si>
  <si>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</si>
  <si>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</si>
  <si>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</si>
  <si>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</si>
  <si>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</si>
  <si>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</si>
  <si>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</si>
  <si>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</si>
  <si>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</si>
  <si>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</si>
  <si>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</si>
  <si>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</si>
  <si>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</si>
  <si>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</si>
  <si>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</si>
  <si>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</si>
  <si>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</si>
  <si>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</si>
  <si>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</si>
  <si>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</si>
  <si>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</si>
  <si>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</si>
  <si>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</si>
  <si>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</si>
  <si>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</si>
  <si>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</si>
  <si>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</si>
  <si>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</si>
  <si>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</si>
  <si>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</si>
  <si>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</si>
  <si>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</si>
  <si>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</si>
  <si>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</si>
  <si>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</si>
  <si>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</si>
  <si>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</si>
  <si>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</si>
  <si>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</si>
  <si>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</si>
  <si>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</si>
  <si>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</si>
  <si>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</si>
  <si>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</si>
  <si>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</si>
  <si>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</si>
  <si>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</si>
  <si>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</si>
  <si>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</si>
  <si>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</si>
  <si>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</si>
  <si>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</si>
  <si>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</si>
  <si>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</si>
  <si>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</si>
  <si>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</si>
  <si>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</si>
  <si>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</si>
  <si>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</si>
  <si>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</si>
  <si>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</si>
  <si>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</si>
  <si>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</si>
  <si>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</si>
  <si>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</si>
  <si>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</si>
  <si>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</si>
  <si>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</si>
  <si>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</si>
  <si>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</si>
  <si>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</si>
  <si>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</si>
  <si>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</si>
  <si>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</si>
  <si>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</si>
  <si>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</si>
  <si>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</si>
  <si>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</si>
  <si>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</si>
  <si>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</si>
  <si>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</si>
  <si>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</si>
  <si>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</si>
  <si>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</si>
  <si>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</si>
  <si>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</si>
  <si>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</si>
  <si>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</si>
  <si>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</si>
  <si>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</si>
  <si>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</si>
  <si>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</si>
  <si>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</si>
  <si>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</si>
  <si>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</si>
  <si>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</si>
  <si>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</si>
  <si>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</si>
  <si>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</si>
  <si>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</si>
  <si>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</si>
  <si>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</si>
  <si>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</si>
  <si>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</si>
  <si>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</si>
  <si>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</si>
  <si>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</si>
  <si>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</si>
  <si>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</si>
  <si>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</si>
  <si>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</si>
  <si>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</si>
  <si>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</si>
  <si>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</si>
  <si>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</si>
  <si>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</si>
  <si>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</si>
  <si>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</si>
  <si>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</si>
  <si>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</si>
  <si>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</si>
  <si>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</si>
  <si>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</si>
  <si>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</si>
  <si>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</si>
  <si>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</si>
  <si>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</si>
  <si>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</si>
  <si>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</si>
  <si>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</si>
  <si>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</si>
  <si>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</si>
  <si>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</si>
  <si>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</si>
  <si>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</si>
  <si>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</si>
  <si>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</si>
  <si>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</si>
  <si>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</si>
  <si>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</si>
  <si>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</si>
  <si>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</si>
  <si>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</si>
  <si>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</si>
  <si>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</si>
  <si>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</si>
  <si>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</si>
  <si>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</si>
  <si>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</si>
  <si>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</si>
  <si>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</si>
  <si>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</si>
  <si>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</si>
  <si>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</si>
  <si>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</si>
  <si>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</si>
  <si>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</si>
  <si>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</si>
  <si>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</si>
  <si>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</si>
  <si>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</si>
  <si>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</si>
  <si>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</si>
  <si>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</si>
  <si>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</si>
  <si>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</si>
  <si>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</si>
  <si>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</si>
  <si>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</si>
  <si>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</si>
  <si>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</si>
  <si>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</si>
  <si>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</si>
  <si>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</si>
  <si>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</si>
  <si>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</si>
  <si>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</si>
  <si>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</si>
  <si>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</si>
  <si>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</si>
  <si>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</si>
  <si>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</si>
  <si>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</si>
  <si>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</si>
  <si>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</si>
  <si>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</si>
  <si>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</si>
  <si>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</si>
  <si>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</si>
  <si>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</si>
  <si>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</si>
  <si>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</si>
  <si>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</si>
  <si>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</si>
  <si>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</si>
  <si>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</si>
  <si>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</si>
  <si>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</si>
  <si>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</si>
  <si>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</si>
  <si>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</si>
  <si>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</si>
  <si>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</si>
  <si>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</si>
  <si>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</si>
  <si>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</si>
  <si>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</si>
  <si>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</si>
  <si>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</si>
  <si>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</si>
  <si>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</si>
  <si>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</si>
  <si>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</si>
  <si>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</si>
  <si>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</si>
  <si>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</si>
  <si>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</si>
  <si>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</si>
  <si>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</si>
  <si>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</si>
  <si>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</si>
  <si>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</si>
  <si>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</si>
  <si>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</si>
  <si>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</si>
  <si>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</si>
  <si>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</si>
  <si>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</si>
  <si>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</si>
  <si>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</si>
  <si>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</si>
  <si>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</si>
  <si>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</si>
  <si>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</si>
  <si>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</si>
  <si>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</si>
  <si>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</si>
  <si>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</si>
  <si>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</si>
  <si>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</si>
  <si>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</si>
  <si>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</si>
  <si>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</si>
  <si>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</si>
  <si>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</si>
  <si>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</si>
  <si>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</si>
  <si>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</si>
  <si>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</si>
  <si>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</si>
  <si>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</si>
  <si>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</si>
  <si>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</si>
  <si>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</si>
  <si>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</si>
  <si>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</si>
  <si>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</si>
  <si>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</si>
  <si>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</si>
  <si>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</si>
  <si>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</si>
  <si>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</si>
  <si>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</si>
  <si>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</si>
  <si>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</si>
  <si>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</si>
  <si>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</si>
  <si>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</si>
  <si>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</si>
  <si>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</si>
  <si>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</si>
  <si>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</si>
  <si>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</si>
  <si>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</si>
  <si>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</si>
  <si>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</si>
  <si>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</si>
  <si>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</si>
  <si>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</si>
  <si>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</si>
  <si>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</si>
  <si>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</si>
  <si>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</si>
  <si>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</si>
  <si>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</si>
  <si>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</si>
  <si>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</si>
  <si>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</si>
  <si>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</si>
  <si>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</si>
  <si>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</si>
  <si>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</si>
  <si>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</si>
  <si>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</si>
  <si>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</si>
  <si>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</si>
  <si>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</si>
  <si>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</si>
  <si>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</si>
  <si>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</si>
  <si>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</si>
  <si>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</si>
  <si>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</si>
  <si>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</si>
  <si>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</si>
  <si>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</si>
  <si>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</si>
  <si>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</si>
  <si>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</si>
  <si>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</si>
  <si>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</si>
  <si>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</si>
  <si>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</si>
  <si>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</si>
  <si>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</si>
  <si>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</si>
  <si>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</si>
  <si>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</si>
  <si>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</si>
  <si>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</si>
  <si>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</si>
  <si>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</si>
  <si>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</si>
  <si>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</si>
  <si>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</si>
  <si>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</si>
  <si>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</si>
  <si>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</si>
  <si>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</si>
  <si>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</si>
  <si>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</si>
  <si>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</si>
  <si>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</si>
  <si>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</si>
  <si>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</si>
  <si>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</si>
  <si>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</si>
  <si>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</si>
  <si>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</si>
  <si>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</si>
  <si>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</si>
  <si>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</si>
  <si>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</si>
  <si>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</si>
  <si>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</si>
  <si>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</si>
  <si>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</si>
  <si>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</si>
  <si>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</si>
  <si>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</si>
  <si>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</si>
  <si>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</si>
  <si>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</si>
  <si>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</si>
  <si>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</si>
  <si>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</si>
  <si>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</si>
  <si>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</si>
  <si>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</si>
  <si>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</si>
  <si>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</si>
  <si>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</si>
  <si>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</si>
  <si>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</si>
  <si>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</si>
  <si>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</si>
  <si>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</si>
  <si>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</si>
  <si>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</si>
  <si>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</si>
  <si>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</si>
  <si>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</si>
  <si>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</si>
  <si>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</si>
  <si>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</si>
  <si>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</si>
  <si>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</si>
  <si>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</si>
  <si>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</si>
  <si>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</si>
  <si>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</si>
  <si>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</si>
  <si>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</si>
  <si>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</si>
  <si>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</si>
  <si>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</si>
  <si>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</si>
  <si>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</si>
  <si>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</si>
  <si>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</si>
  <si>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</si>
  <si>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</si>
  <si>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</si>
  <si>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</si>
  <si>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</si>
  <si>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</si>
  <si>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</si>
  <si>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</si>
  <si>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</si>
  <si>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</si>
  <si>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</si>
  <si>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</si>
  <si>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</si>
  <si>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</si>
  <si>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</si>
  <si>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</si>
  <si>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</si>
  <si>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</si>
  <si>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</si>
  <si>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</si>
  <si>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</si>
  <si>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</si>
  <si>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</si>
  <si>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</si>
  <si>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</si>
  <si>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</si>
  <si>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</si>
  <si>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</si>
  <si>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</si>
  <si>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</si>
  <si>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</si>
  <si>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</si>
  <si>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</si>
  <si>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</si>
  <si>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</si>
  <si>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</si>
  <si>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</si>
  <si>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</si>
  <si>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</si>
  <si>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</si>
  <si>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</si>
  <si>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</si>
  <si>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</si>
  <si>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</si>
  <si>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</si>
  <si>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</si>
  <si>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</si>
  <si>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</si>
  <si>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</si>
  <si>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</si>
  <si>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</si>
  <si>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</si>
  <si>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</si>
  <si>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</si>
  <si>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</si>
  <si>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</si>
  <si>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</si>
  <si>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</si>
  <si>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</si>
  <si>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</si>
  <si>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</si>
  <si>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</si>
  <si>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</si>
  <si>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</si>
  <si>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</si>
  <si>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</si>
  <si>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</si>
  <si>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</si>
  <si>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</si>
  <si>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</si>
  <si>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</si>
  <si>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</si>
  <si>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</si>
  <si>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</si>
  <si>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</si>
  <si>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</si>
  <si>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</si>
  <si>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</si>
  <si>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</si>
  <si>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</si>
  <si>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</si>
  <si>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</si>
  <si>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</si>
  <si>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</si>
  <si>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</si>
  <si>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</si>
  <si>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</si>
  <si>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</si>
  <si>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</si>
  <si>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</si>
  <si>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</si>
  <si>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</si>
  <si>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</si>
  <si>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</si>
  <si>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</si>
  <si>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</si>
  <si>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</si>
  <si>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</si>
  <si>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</si>
  <si>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</si>
  <si>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</si>
  <si>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</si>
  <si>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</si>
  <si>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</si>
  <si>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</si>
  <si>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</si>
  <si>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</si>
  <si>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</si>
  <si>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</si>
  <si>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</si>
  <si>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</si>
  <si>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</si>
  <si>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</si>
  <si>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</si>
  <si>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</si>
  <si>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</si>
  <si>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</si>
  <si>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</si>
  <si>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</si>
  <si>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</si>
  <si>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</si>
  <si>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</si>
  <si>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</si>
  <si>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</si>
  <si>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</si>
  <si>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</si>
  <si>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</si>
  <si>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</si>
  <si>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</si>
  <si>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</si>
  <si>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</si>
  <si>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</si>
  <si>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</si>
  <si>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</si>
  <si>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</si>
  <si>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</si>
  <si>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</si>
  <si>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</si>
  <si>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</si>
  <si>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</si>
  <si>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</si>
  <si>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</si>
  <si>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</si>
  <si>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</si>
  <si>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</si>
  <si>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</si>
  <si>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</si>
  <si>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</si>
  <si>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</si>
  <si>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</si>
  <si>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</si>
  <si>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</si>
  <si>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</si>
  <si>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</si>
  <si>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</si>
  <si>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</si>
  <si>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</si>
  <si>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</si>
  <si>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</si>
  <si>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</si>
  <si>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</si>
  <si>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</si>
  <si>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</si>
  <si>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</si>
  <si>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</si>
  <si>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</si>
  <si>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</si>
  <si>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</si>
  <si>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</si>
  <si>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</si>
  <si>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</si>
  <si>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</si>
  <si>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</si>
  <si>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</si>
  <si>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</si>
  <si>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</si>
  <si>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</si>
  <si>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</si>
  <si>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</si>
  <si>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</si>
  <si>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</si>
  <si>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</si>
  <si>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</si>
  <si>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</si>
  <si>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</si>
  <si>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</si>
  <si>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</si>
  <si>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</si>
  <si>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</si>
  <si>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</si>
  <si>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</si>
  <si>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</si>
  <si>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</si>
  <si>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</si>
  <si>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</si>
  <si>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</si>
  <si>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</si>
  <si>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</si>
  <si>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</si>
  <si>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</si>
  <si>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</si>
  <si>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</si>
  <si>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</si>
  <si>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</si>
  <si>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</si>
  <si>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</si>
  <si>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</si>
  <si>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</si>
  <si>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</si>
  <si>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</si>
  <si>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</si>
  <si>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</si>
  <si>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</si>
  <si>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</si>
  <si>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</si>
  <si>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</si>
  <si>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</si>
  <si>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</si>
  <si>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</si>
  <si>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</si>
  <si>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</si>
  <si>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</si>
  <si>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</si>
  <si>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</si>
  <si>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</si>
  <si>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</si>
  <si>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</si>
  <si>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</si>
  <si>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</si>
  <si>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</si>
  <si>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</si>
  <si>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</si>
  <si>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</si>
  <si>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</si>
  <si>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</si>
  <si>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</si>
  <si>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</si>
  <si>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</si>
  <si>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</si>
  <si>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</si>
  <si>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</si>
  <si>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</si>
  <si>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</si>
  <si>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</si>
  <si>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</si>
  <si>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</si>
  <si>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</si>
  <si>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</si>
  <si>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</si>
  <si>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抵押价格</t>
  </si>
  <si>
    <t>企业</t>
  </si>
  <si>
    <t>武汉市</t>
  </si>
  <si>
    <t>商业</t>
  </si>
  <si>
    <t>无</t>
  </si>
  <si>
    <t>否</t>
  </si>
  <si>
    <t>场地平整</t>
  </si>
  <si>
    <t>平整</t>
  </si>
  <si>
    <t>通路</t>
  </si>
  <si>
    <t>通电</t>
  </si>
  <si>
    <t>通讯</t>
  </si>
  <si>
    <t>通上水</t>
  </si>
  <si>
    <t>通下水</t>
  </si>
  <si>
    <t>燃气</t>
  </si>
  <si>
    <t>规划指标表</t>
  </si>
  <si>
    <t>编制单位：</t>
  </si>
  <si>
    <t>单位：平方米</t>
  </si>
  <si>
    <t>净用地（亩）</t>
  </si>
  <si>
    <t>净用地面积</t>
  </si>
  <si>
    <t>总建筑面积</t>
  </si>
  <si>
    <t>计容建筑面积</t>
  </si>
  <si>
    <t>计容面积</t>
  </si>
  <si>
    <t>可售面积</t>
  </si>
  <si>
    <t>地下建筑面积</t>
  </si>
  <si>
    <t>地下车位数量</t>
  </si>
  <si>
    <t>占地面积</t>
  </si>
  <si>
    <t>资产面积</t>
  </si>
  <si>
    <t>备注</t>
  </si>
  <si>
    <t>无产权新增</t>
    <phoneticPr fontId="3" type="noConversion"/>
  </si>
  <si>
    <t>住宅-洋房-小高层</t>
  </si>
  <si>
    <t>住宅-高层-高层</t>
  </si>
  <si>
    <t>商办</t>
  </si>
  <si>
    <t>销售-超高层写字楼--北塔</t>
  </si>
  <si>
    <t>销售-平层公寓</t>
  </si>
  <si>
    <t>销售-集中商业</t>
  </si>
  <si>
    <t>非人防车位</t>
  </si>
  <si>
    <t>销售-集中商业（地下）</t>
    <phoneticPr fontId="3" type="noConversion"/>
  </si>
  <si>
    <t>销售-非人防车库</t>
  </si>
  <si>
    <t>223㎡不可售</t>
  </si>
  <si>
    <t>人防车库</t>
  </si>
  <si>
    <t>不可售</t>
  </si>
  <si>
    <t>社区配套物业</t>
  </si>
  <si>
    <t>避难层及设备用房地上部分</t>
  </si>
  <si>
    <t>消防控制室</t>
  </si>
  <si>
    <t>物业管理用房</t>
  </si>
  <si>
    <t>开闭所</t>
  </si>
  <si>
    <t>根据业务部门数据填写</t>
  </si>
  <si>
    <t>湖北省武汉市</t>
    <phoneticPr fontId="6" type="noConversion"/>
  </si>
  <si>
    <t>武昌区中北路</t>
  </si>
  <si>
    <t>商业服务用地</t>
    <phoneticPr fontId="6" type="noConversion"/>
  </si>
  <si>
    <t>《不动产证书》[鄂（2017）武汉市市不动产权第0001140号]</t>
    <phoneticPr fontId="6" type="noConversion"/>
  </si>
  <si>
    <t>合同建筑面积</t>
    <phoneticPr fontId="3" type="noConversion"/>
  </si>
  <si>
    <t>《国有建设用地使用权出让合同》[电子监管号：4201002017B23616]及附件、《建设工程规划许可证》[武规建（2019）082号]</t>
    <phoneticPr fontId="6" type="noConversion"/>
  </si>
  <si>
    <t>地上</t>
  </si>
  <si>
    <t>地下</t>
  </si>
  <si>
    <t>车库</t>
  </si>
  <si>
    <t>情况3</t>
  </si>
  <si>
    <t>正常</t>
  </si>
  <si>
    <t>自行开发建设</t>
  </si>
  <si>
    <t>非个人房产</t>
  </si>
  <si>
    <t>仅含出让金</t>
  </si>
  <si>
    <t>楼面地价</t>
  </si>
  <si>
    <t>商服</t>
  </si>
  <si>
    <t>商服</t>
    <phoneticPr fontId="26" type="noConversion"/>
  </si>
  <si>
    <t>商业</t>
    <phoneticPr fontId="7" type="noConversion"/>
  </si>
  <si>
    <t>地下商业</t>
  </si>
  <si>
    <t>较规则</t>
  </si>
  <si>
    <t>较规则</t>
    <phoneticPr fontId="26" type="noConversion"/>
  </si>
  <si>
    <t>较合适</t>
  </si>
  <si>
    <t>较合适</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</si>
  <si>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</si>
  <si>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</si>
  <si>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</si>
  <si>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</si>
  <si>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</si>
  <si>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</si>
  <si>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</si>
  <si>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</si>
  <si>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办公</t>
    <phoneticPr fontId="27" type="noConversion"/>
  </si>
  <si>
    <t>钢混</t>
  </si>
  <si>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</si>
  <si>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</si>
  <si>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</si>
  <si>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</si>
  <si>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</si>
  <si>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</si>
  <si>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</si>
  <si>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专业</t>
    <phoneticPr fontId="27" type="noConversion"/>
  </si>
  <si>
    <t>甲级</t>
    <phoneticPr fontId="27" type="noConversion"/>
  </si>
  <si>
    <t>乙级</t>
    <phoneticPr fontId="27" type="noConversion"/>
  </si>
  <si>
    <t>30-40（含）</t>
  </si>
  <si>
    <t>地块名称</t>
  </si>
  <si>
    <t>城市</t>
  </si>
  <si>
    <t>用地性质</t>
  </si>
  <si>
    <t>出让方式</t>
  </si>
  <si>
    <t>地块编号</t>
  </si>
  <si>
    <t>详细规划</t>
  </si>
  <si>
    <t>建设用地面积(㎡)</t>
  </si>
  <si>
    <t>规划建筑面积(㎡)</t>
  </si>
  <si>
    <t>商业比例</t>
  </si>
  <si>
    <t>成交日期</t>
  </si>
  <si>
    <t>受让单位</t>
  </si>
  <si>
    <t>成交价(万元)</t>
  </si>
  <si>
    <t>成交每亩价(万元/亩)</t>
  </si>
  <si>
    <t>成交楼面价(元/㎡)</t>
  </si>
  <si>
    <t>溢价率</t>
  </si>
  <si>
    <t>出让年限</t>
  </si>
  <si>
    <t>竞报整体自持比例(%)</t>
  </si>
  <si>
    <t>土地星级</t>
  </si>
  <si>
    <t>武昌区八一路和科技小路交叉口</t>
  </si>
  <si>
    <t>商业/办公用地</t>
  </si>
  <si>
    <t>挂牌</t>
  </si>
  <si>
    <t>P(2020)132号</t>
  </si>
  <si>
    <t>按计容建筑面积与净用地面积的比值计算</t>
  </si>
  <si>
    <t>2020-11-26</t>
  </si>
  <si>
    <t>武汉聚创汇智置业有限公司</t>
  </si>
  <si>
    <t>商服40年</t>
  </si>
  <si>
    <t>5星</t>
  </si>
  <si>
    <t>武昌区东湖路与兴国南路交汇处(地下空间)</t>
  </si>
  <si>
    <t>P(2020)094号</t>
  </si>
  <si>
    <t>2020-09-30</t>
  </si>
  <si>
    <t>武汉两湖半岛房地产开发有限公司</t>
  </si>
  <si>
    <t>P(2020)050号</t>
  </si>
  <si>
    <t>商服、公园与绿地</t>
  </si>
  <si>
    <t>按最大建筑面积与净用地面积的比值计算</t>
  </si>
  <si>
    <t>2020-06-30</t>
  </si>
  <si>
    <t>武汉泰悦置业有限公司</t>
  </si>
  <si>
    <t>武昌区秦园路以北、和平大道以西、徐家棚街以南、中部次干道以东</t>
  </si>
  <si>
    <t>P(2019)213号</t>
  </si>
  <si>
    <t>地上:商服、公园与绿地;地下:商服、配套停车、设备用房</t>
  </si>
  <si>
    <t>≥0,≤4.26</t>
  </si>
  <si>
    <t>2020-05-19</t>
  </si>
  <si>
    <t>武汉清龙置业有限公司</t>
  </si>
  <si>
    <t>武昌区中北路与坨塘路交汇处</t>
  </si>
  <si>
    <t>P(2019)189号</t>
  </si>
  <si>
    <t>≤4.96</t>
  </si>
  <si>
    <t>2019-12-20</t>
  </si>
  <si>
    <t>湖北房投长恒地产有限公司</t>
  </si>
  <si>
    <t>P(2019)152号</t>
  </si>
  <si>
    <t>≤3.24</t>
  </si>
  <si>
    <t>2019-11-27</t>
  </si>
  <si>
    <t>湖北高投资产投资有限公司</t>
  </si>
  <si>
    <t>P(2019)134号</t>
  </si>
  <si>
    <t>≤5.52</t>
  </si>
  <si>
    <t>2019-10-22</t>
  </si>
  <si>
    <t>武汉联投中岳建设有限公司</t>
  </si>
  <si>
    <t>武昌区秦园路以南、武车二路以北、规划道路以西、临江大道以东</t>
  </si>
  <si>
    <t>P(2019)109号</t>
  </si>
  <si>
    <t>商服、交通服务场站</t>
  </si>
  <si>
    <t>≤4.22</t>
  </si>
  <si>
    <t>2019-09-10</t>
  </si>
  <si>
    <t>华御江(武汉)房地产开发有限公司</t>
  </si>
  <si>
    <t>武昌区东湖路与兴国南路交汇处</t>
  </si>
  <si>
    <t>P(2019)058号</t>
  </si>
  <si>
    <t>商服、轨道交通、公园与绿地</t>
  </si>
  <si>
    <t>≤2.75</t>
  </si>
  <si>
    <t>2019-05-30</t>
  </si>
  <si>
    <t>武昌区徐东大街与沙湖大道交汇处</t>
  </si>
  <si>
    <t>P(2018)089号</t>
  </si>
  <si>
    <t>≤3.5</t>
  </si>
  <si>
    <t>2018-09-19</t>
  </si>
  <si>
    <t>湖北铁投中和置业有限公司</t>
  </si>
  <si>
    <t>武昌区和平大道与中山路交汇处</t>
  </si>
  <si>
    <t>P(2018)075号</t>
  </si>
  <si>
    <t>≤7.8</t>
  </si>
  <si>
    <t>2018-08-30</t>
  </si>
  <si>
    <t>武汉中新国闻置业有限公司</t>
  </si>
  <si>
    <t>武昌区新生路与积玉桥路交汇处</t>
  </si>
  <si>
    <t>P(2017)185号</t>
  </si>
  <si>
    <t>2018-01-12</t>
  </si>
  <si>
    <t>武汉市武昌滨江投资</t>
  </si>
  <si>
    <t>武昌区中北路与兴国路交汇处</t>
  </si>
  <si>
    <t>招标</t>
  </si>
  <si>
    <t>P(2017)151号</t>
  </si>
  <si>
    <t>2017-12-20</t>
  </si>
  <si>
    <t>湖北省宏利置业有限公司</t>
  </si>
  <si>
    <t>武昌区沙湖南岸、公正路北侧</t>
  </si>
  <si>
    <t>P(2017)152号</t>
  </si>
  <si>
    <t>武汉市洪荣房地产开发有限公司</t>
  </si>
  <si>
    <t>武昌区武珞路与宝通寺路交汇处</t>
  </si>
  <si>
    <t>P(2017)139号</t>
  </si>
  <si>
    <t>2017-12-04</t>
  </si>
  <si>
    <t>武汉武商集团股份有限公司</t>
  </si>
  <si>
    <t>武昌区中北路青鱼嘴</t>
  </si>
  <si>
    <t>P(2017)011号</t>
  </si>
  <si>
    <t>商服用地</t>
  </si>
  <si>
    <t>2017-02-28</t>
  </si>
  <si>
    <t>湖北铁投房地产开发有限责任公司</t>
  </si>
  <si>
    <t>40年</t>
  </si>
  <si>
    <t>武昌区中北路与秦园路交叉口</t>
  </si>
  <si>
    <t>P(2016)099号</t>
  </si>
  <si>
    <t>2016-10-18</t>
  </si>
  <si>
    <t>武汉东伟置业有限公司</t>
  </si>
  <si>
    <t>武昌区秦园路与惠安路交汇处</t>
  </si>
  <si>
    <t>P(2016)094号</t>
  </si>
  <si>
    <t>商服、公园绿地用地</t>
  </si>
  <si>
    <t>2016-09-13</t>
  </si>
  <si>
    <t>湖北新纪元实业有限公司</t>
  </si>
  <si>
    <t>P(2016)076号</t>
  </si>
  <si>
    <t>2016-08-16</t>
  </si>
  <si>
    <t>北大资源集团投资有限公司</t>
  </si>
  <si>
    <t>武昌区中北路108号</t>
  </si>
  <si>
    <t>P(2016)038号</t>
  </si>
  <si>
    <t>2016-06-30</t>
  </si>
  <si>
    <t>湖北襄投置业有限公司</t>
  </si>
  <si>
    <t>武昌区中北路武重厂前F地块</t>
  </si>
  <si>
    <t>P(2015)165号</t>
  </si>
  <si>
    <t>2016-01-26</t>
  </si>
  <si>
    <t>天风天睿投资有限公司</t>
  </si>
  <si>
    <t>http://map.sogou.com/t/arWy17</t>
    <phoneticPr fontId="228"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</si>
  <si>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</si>
  <si>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</si>
  <si>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</si>
  <si>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</si>
  <si>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</si>
  <si>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</si>
  <si>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中北路</t>
    <phoneticPr fontId="26" type="noConversion"/>
  </si>
  <si>
    <t>武汉大道</t>
    <phoneticPr fontId="26" type="noConversion"/>
  </si>
  <si>
    <t>办公楼</t>
  </si>
  <si>
    <t>公寓</t>
  </si>
  <si>
    <t>商业街</t>
  </si>
  <si>
    <t>地下车库</t>
    <phoneticPr fontId="7" type="noConversion"/>
  </si>
  <si>
    <t>写字楼-北塔</t>
  </si>
  <si>
    <t>写字楼-北塔</t>
    <phoneticPr fontId="7" type="noConversion"/>
  </si>
  <si>
    <t>公寓-南塔</t>
  </si>
  <si>
    <t>公寓-南塔</t>
    <phoneticPr fontId="7" type="noConversion"/>
  </si>
  <si>
    <t>剩余法-待开发</t>
  </si>
  <si>
    <t>比较法-住宅、综合</t>
  </si>
  <si>
    <t>商业</t>
    <phoneticPr fontId="26" type="noConversion"/>
  </si>
  <si>
    <t>君临国际</t>
    <phoneticPr fontId="3" type="noConversion"/>
  </si>
  <si>
    <t>售价</t>
  </si>
  <si>
    <t>徐东大街与友谊大道交汇处</t>
    <phoneticPr fontId="3" type="noConversion"/>
  </si>
  <si>
    <t>http://map.sogou.com/t/sSLd6S</t>
    <phoneticPr fontId="228" type="noConversion"/>
  </si>
  <si>
    <t>多面临街</t>
    <phoneticPr fontId="26" type="noConversion"/>
  </si>
  <si>
    <t>双面临街</t>
    <phoneticPr fontId="26" type="noConversion"/>
  </si>
  <si>
    <t>单面临街</t>
    <phoneticPr fontId="26" type="noConversion"/>
  </si>
  <si>
    <t>不临街</t>
    <phoneticPr fontId="26" type="noConversion"/>
  </si>
  <si>
    <t>较大</t>
    <phoneticPr fontId="26" type="noConversion"/>
  </si>
  <si>
    <t>一般</t>
    <phoneticPr fontId="26" type="noConversion"/>
  </si>
  <si>
    <t>较小</t>
    <phoneticPr fontId="26" type="noConversion"/>
  </si>
  <si>
    <t>一层</t>
  </si>
  <si>
    <t>一层</t>
    <phoneticPr fontId="26" type="noConversion"/>
  </si>
  <si>
    <t>二层</t>
  </si>
  <si>
    <t>二层</t>
    <phoneticPr fontId="26" type="noConversion"/>
  </si>
  <si>
    <t>三层</t>
  </si>
  <si>
    <t>三层</t>
    <phoneticPr fontId="26" type="noConversion"/>
  </si>
  <si>
    <t>地下一层</t>
    <phoneticPr fontId="26" type="noConversion"/>
  </si>
  <si>
    <t>购物中心</t>
  </si>
  <si>
    <t>购物中心</t>
    <phoneticPr fontId="26" type="noConversion"/>
  </si>
  <si>
    <t>商业街</t>
    <phoneticPr fontId="26" type="noConversion"/>
  </si>
  <si>
    <t>住宅底商</t>
  </si>
  <si>
    <t>住宅底商</t>
    <phoneticPr fontId="26" type="noConversion"/>
  </si>
  <si>
    <t>钢混</t>
    <phoneticPr fontId="26" type="noConversion"/>
  </si>
  <si>
    <t>绿地国际金融城</t>
  </si>
  <si>
    <t>和平大道840号</t>
    <phoneticPr fontId="3" type="noConversion"/>
  </si>
  <si>
    <t>项目名称</t>
  </si>
  <si>
    <t>区县</t>
  </si>
  <si>
    <t>板块</t>
  </si>
  <si>
    <t>所属企业</t>
  </si>
  <si>
    <t>成交套数(套)</t>
  </si>
  <si>
    <t>成交面积(㎡)</t>
  </si>
  <si>
    <t>成交价格(元/㎡)</t>
  </si>
  <si>
    <t>成交金额(万元)</t>
  </si>
  <si>
    <t>套均总价(万元/套)</t>
  </si>
  <si>
    <t>套均面积(㎡/套)</t>
  </si>
  <si>
    <t>武汉中央文化区</t>
  </si>
  <si>
    <t>武昌区</t>
  </si>
  <si>
    <t>武昌中心</t>
  </si>
  <si>
    <t>大连万达</t>
  </si>
  <si>
    <t>224</t>
  </si>
  <si>
    <t>24162</t>
  </si>
  <si>
    <t>14896</t>
  </si>
  <si>
    <t>35991.40</t>
  </si>
  <si>
    <t>160.68</t>
  </si>
  <si>
    <t>108</t>
  </si>
  <si>
    <t>万科金域华府</t>
  </si>
  <si>
    <t>徐东</t>
  </si>
  <si>
    <t>万科</t>
  </si>
  <si>
    <t>30</t>
  </si>
  <si>
    <t>2858</t>
  </si>
  <si>
    <t>14583</t>
  </si>
  <si>
    <t>4167.60</t>
  </si>
  <si>
    <t>138.92</t>
  </si>
  <si>
    <t>95</t>
  </si>
  <si>
    <t>和璟国际</t>
  </si>
  <si>
    <t>20</t>
  </si>
  <si>
    <t>1387</t>
  </si>
  <si>
    <t>21001</t>
  </si>
  <si>
    <t>2912.20</t>
  </si>
  <si>
    <t>145.61</t>
  </si>
  <si>
    <t>69</t>
  </si>
  <si>
    <t>武昌滨江</t>
  </si>
  <si>
    <t>绿地控股</t>
  </si>
  <si>
    <t>18</t>
  </si>
  <si>
    <t>2334</t>
  </si>
  <si>
    <t>21790</t>
  </si>
  <si>
    <t>5085.90</t>
  </si>
  <si>
    <t>282.55</t>
  </si>
  <si>
    <t>130</t>
  </si>
  <si>
    <t>君临天下</t>
  </si>
  <si>
    <t>5</t>
  </si>
  <si>
    <t>510</t>
  </si>
  <si>
    <t>18452</t>
  </si>
  <si>
    <t>940.50</t>
  </si>
  <si>
    <t>188.10</t>
  </si>
  <si>
    <t>102</t>
  </si>
  <si>
    <t>中南欢乐汇</t>
  </si>
  <si>
    <t>212</t>
  </si>
  <si>
    <t>20929</t>
  </si>
  <si>
    <t>443.90</t>
  </si>
  <si>
    <t>88.78</t>
  </si>
  <si>
    <t>42</t>
  </si>
  <si>
    <t>普提金国际金融中心</t>
  </si>
  <si>
    <t>东湖新城</t>
  </si>
  <si>
    <t>普提金</t>
  </si>
  <si>
    <t>3</t>
  </si>
  <si>
    <t>673</t>
  </si>
  <si>
    <t>14999</t>
  </si>
  <si>
    <t>1009.40</t>
  </si>
  <si>
    <t>336.47</t>
  </si>
  <si>
    <t>佳兆业广场天御</t>
  </si>
  <si>
    <t>佳兆业集团</t>
  </si>
  <si>
    <t>158</t>
  </si>
  <si>
    <t>21031</t>
  </si>
  <si>
    <t>332.50</t>
  </si>
  <si>
    <t>110.83</t>
  </si>
  <si>
    <t>53</t>
  </si>
  <si>
    <t>九坤·秦南都汇</t>
  </si>
  <si>
    <t>2</t>
  </si>
  <si>
    <t>115</t>
  </si>
  <si>
    <t>12192</t>
  </si>
  <si>
    <t>139.60</t>
  </si>
  <si>
    <t>69.80</t>
  </si>
  <si>
    <t>57</t>
  </si>
  <si>
    <t>保利江锦</t>
  </si>
  <si>
    <t>保利置业</t>
  </si>
  <si>
    <t>1</t>
  </si>
  <si>
    <t>218</t>
  </si>
  <si>
    <t>29509</t>
  </si>
  <si>
    <t>643.00</t>
  </si>
  <si>
    <t>1818中心</t>
  </si>
  <si>
    <t>中国铁建</t>
  </si>
  <si>
    <t>24</t>
  </si>
  <si>
    <t>18487</t>
  </si>
  <si>
    <t>44.00</t>
  </si>
  <si>
    <t>星海虹城</t>
  </si>
  <si>
    <t>70</t>
  </si>
  <si>
    <t>12994</t>
  </si>
  <si>
    <t>90.70</t>
  </si>
  <si>
    <t>融侨华翔天域</t>
  </si>
  <si>
    <t>融侨集团</t>
  </si>
  <si>
    <t>74</t>
  </si>
  <si>
    <t>16545</t>
  </si>
  <si>
    <t>122.60</t>
  </si>
  <si>
    <t>62</t>
  </si>
  <si>
    <t>3191</t>
  </si>
  <si>
    <t>21511</t>
  </si>
  <si>
    <t>6864.30</t>
  </si>
  <si>
    <t>110.71</t>
  </si>
  <si>
    <t>51</t>
  </si>
  <si>
    <t>7</t>
  </si>
  <si>
    <t>924</t>
  </si>
  <si>
    <t>32448</t>
  </si>
  <si>
    <t>2999.50</t>
  </si>
  <si>
    <t>428.50</t>
  </si>
  <si>
    <t>132</t>
  </si>
  <si>
    <t>416</t>
  </si>
  <si>
    <t>16118</t>
  </si>
  <si>
    <t>670.50</t>
  </si>
  <si>
    <t>134.10</t>
  </si>
  <si>
    <t>83</t>
  </si>
  <si>
    <t>4</t>
  </si>
  <si>
    <t>162</t>
  </si>
  <si>
    <t>15099</t>
  </si>
  <si>
    <t>244.30</t>
  </si>
  <si>
    <t>61.08</t>
  </si>
  <si>
    <t>40</t>
  </si>
  <si>
    <t>融侨华府</t>
  </si>
  <si>
    <t>196</t>
  </si>
  <si>
    <t>8851</t>
  </si>
  <si>
    <t>173.30</t>
  </si>
  <si>
    <t>43.33</t>
  </si>
  <si>
    <t>49</t>
  </si>
  <si>
    <t>凯乐花园</t>
  </si>
  <si>
    <t>凯乐科技</t>
  </si>
  <si>
    <t>238</t>
  </si>
  <si>
    <t>15000</t>
  </si>
  <si>
    <t>356.40</t>
  </si>
  <si>
    <t>118.80</t>
  </si>
  <si>
    <t>79</t>
  </si>
  <si>
    <t>武汉恒大首府</t>
  </si>
  <si>
    <t>中国恒大</t>
  </si>
  <si>
    <t>1995</t>
  </si>
  <si>
    <t>10476</t>
  </si>
  <si>
    <t>2089.70</t>
  </si>
  <si>
    <t>696.57</t>
  </si>
  <si>
    <t>665</t>
  </si>
  <si>
    <t>长城汇</t>
  </si>
  <si>
    <t>490</t>
  </si>
  <si>
    <t>13145</t>
  </si>
  <si>
    <t>643.70</t>
  </si>
  <si>
    <t>321.85</t>
  </si>
  <si>
    <t>245</t>
  </si>
  <si>
    <t>36177</t>
  </si>
  <si>
    <t>342.60</t>
  </si>
  <si>
    <t>171.30</t>
  </si>
  <si>
    <t>47</t>
  </si>
  <si>
    <t>胭脂公寓</t>
  </si>
  <si>
    <t>368</t>
  </si>
  <si>
    <t>9921</t>
  </si>
  <si>
    <t>365.00</t>
  </si>
  <si>
    <t>融创望江府</t>
  </si>
  <si>
    <t>武昌老城</t>
  </si>
  <si>
    <t>融创中国</t>
  </si>
  <si>
    <t>29</t>
  </si>
  <si>
    <t>33819</t>
  </si>
  <si>
    <t>97.40</t>
  </si>
  <si>
    <t>龙湖集团</t>
  </si>
  <si>
    <t>71</t>
  </si>
  <si>
    <t>47518</t>
  </si>
  <si>
    <t>336.90</t>
  </si>
  <si>
    <t>奥山创意街区</t>
  </si>
  <si>
    <t>奥山集团</t>
  </si>
  <si>
    <t>151</t>
  </si>
  <si>
    <t>10066</t>
  </si>
  <si>
    <t>152.30</t>
  </si>
  <si>
    <t>48</t>
  </si>
  <si>
    <t>32952</t>
  </si>
  <si>
    <t>158.50</t>
  </si>
  <si>
    <t>龙湖天玺</t>
    <phoneticPr fontId="228" type="noConversion"/>
  </si>
  <si>
    <t>融侨城</t>
    <phoneticPr fontId="228" type="noConversion"/>
  </si>
  <si>
    <t>龙湖·天玺</t>
    <phoneticPr fontId="3" type="noConversion"/>
  </si>
  <si>
    <t>武汉中央文化区</t>
    <phoneticPr fontId="228" type="noConversion"/>
  </si>
  <si>
    <t>绿地国际金融城</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</si>
  <si>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</si>
  <si>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</si>
  <si>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</si>
  <si>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</si>
  <si>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2层</t>
  </si>
  <si>
    <t>1层</t>
    <phoneticPr fontId="21" type="noConversion"/>
  </si>
  <si>
    <t>3层</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</si>
  <si>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</si>
  <si>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</si>
  <si>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自定义</t>
  </si>
  <si>
    <t>专业</t>
  </si>
  <si>
    <t>超高层</t>
  </si>
  <si>
    <t>超高层</t>
    <phoneticPr fontId="27" type="noConversion"/>
  </si>
  <si>
    <t>汇通新长江中心</t>
    <phoneticPr fontId="3" type="noConversion"/>
  </si>
  <si>
    <t>徐东大街6号</t>
    <phoneticPr fontId="3" type="noConversion"/>
  </si>
  <si>
    <t>汉街总部国际万达尊</t>
    <phoneticPr fontId="3" type="noConversion"/>
  </si>
  <si>
    <t>竹松路28号附近</t>
    <phoneticPr fontId="3" type="noConversion"/>
  </si>
  <si>
    <t>徐东大街与友谊大道交汇处（销品茂旁）</t>
    <phoneticPr fontId="3" type="noConversion"/>
  </si>
  <si>
    <t>中指</t>
    <phoneticPr fontId="228" type="noConversion"/>
  </si>
  <si>
    <t>电话市调</t>
    <phoneticPr fontId="228" type="noConversion"/>
  </si>
  <si>
    <t>汉街总部国际万达尊</t>
    <phoneticPr fontId="228" type="noConversion"/>
  </si>
  <si>
    <t>君临国际</t>
    <phoneticPr fontId="228" type="noConversion"/>
  </si>
  <si>
    <t>汇通新长江中心</t>
    <phoneticPr fontId="228" type="noConversion"/>
  </si>
  <si>
    <t>25000-26000</t>
    <phoneticPr fontId="228" type="noConversion"/>
  </si>
  <si>
    <t>成交价格(元/㎡)</t>
    <phoneticPr fontId="228" type="noConversion"/>
  </si>
  <si>
    <t>办公(元/㎡)</t>
    <phoneticPr fontId="228" type="noConversion"/>
  </si>
  <si>
    <t>毛坯</t>
    <phoneticPr fontId="228" type="noConversion"/>
  </si>
  <si>
    <t>多大面积都有，临湖，所剩不多</t>
    <phoneticPr fontId="228" type="noConversion"/>
  </si>
  <si>
    <t>27000-31000</t>
    <phoneticPr fontId="228" type="noConversion"/>
  </si>
  <si>
    <t>平层公寓(元/㎡)</t>
    <phoneticPr fontId="228" type="noConversion"/>
  </si>
  <si>
    <t>装修</t>
    <phoneticPr fontId="228" type="noConversion"/>
  </si>
  <si>
    <t>面积(㎡)</t>
    <phoneticPr fontId="228" type="noConversion"/>
  </si>
  <si>
    <t>40-70，临路，所剩不多</t>
    <phoneticPr fontId="228" type="noConversion"/>
  </si>
  <si>
    <t>精装修</t>
    <phoneticPr fontId="228" type="noConversion"/>
  </si>
  <si>
    <t>200-800</t>
    <phoneticPr fontId="228" type="noConversion"/>
  </si>
  <si>
    <t>20000左右</t>
    <phoneticPr fontId="228" type="noConversion"/>
  </si>
  <si>
    <t>毛坯</t>
    <phoneticPr fontId="228" type="noConversion"/>
  </si>
  <si>
    <t>100-800</t>
    <phoneticPr fontId="228" type="noConversion"/>
  </si>
  <si>
    <t>多大面积都有</t>
    <phoneticPr fontId="228" type="noConversion"/>
  </si>
  <si>
    <t>商铺</t>
    <phoneticPr fontId="228" type="noConversion"/>
  </si>
  <si>
    <t xml:space="preserve"> 君临国际目前在售1-5层建面约30-120平商铺，1楼价格约7-13万元/平，2楼价格约6万元/平，3楼约5万元/平；4楼约4.2万元/平；5楼约3.7万元/平，整体均价约55000元/平</t>
    <phoneticPr fontId="228" type="noConversion"/>
  </si>
  <si>
    <t>平层</t>
  </si>
  <si>
    <t>平层</t>
    <phoneticPr fontId="27" type="noConversion"/>
  </si>
  <si>
    <t xml:space="preserve">临江大道和铁机路交汇处 </t>
    <phoneticPr fontId="3" type="noConversion"/>
  </si>
  <si>
    <t>商业36.45年、办公36.45年、地下车库36.45年</t>
    <phoneticPr fontId="6" type="noConversion"/>
  </si>
  <si>
    <t>中北路103号附近</t>
    <phoneticPr fontId="3" type="noConversion"/>
  </si>
  <si>
    <t>租金</t>
    <phoneticPr fontId="3" type="noConversion"/>
  </si>
  <si>
    <t>一层</t>
    <phoneticPr fontId="3" type="noConversion"/>
  </si>
  <si>
    <t>二层</t>
    <phoneticPr fontId="3" type="noConversion"/>
  </si>
  <si>
    <t>三层</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</si>
  <si>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</si>
  <si>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</si>
  <si>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商业、办公、地下车库</t>
    <phoneticPr fontId="6" type="noConversion"/>
  </si>
  <si>
    <t>《不动产证书》[鄂（2017）武汉市市不动产权第0001140号]</t>
  </si>
  <si>
    <t>《国有建设用地使用权出让合同》[电子监管号：4201002017B23616]及附件、《建设工程规划许可证》[武规建（2019）082号]</t>
  </si>
  <si>
    <t>商业项目</t>
  </si>
  <si>
    <t>君临国际</t>
    <phoneticPr fontId="3" type="noConversion"/>
  </si>
  <si>
    <t>汉街总部国际万达尊</t>
    <phoneticPr fontId="3" type="noConversion"/>
  </si>
  <si>
    <t>企业提供(在右侧录入)</t>
  </si>
  <si>
    <t>负一层</t>
    <phoneticPr fontId="3" type="noConversion"/>
  </si>
  <si>
    <t>系数</t>
    <phoneticPr fontId="3" type="noConversion"/>
  </si>
  <si>
    <t>地上平均</t>
    <phoneticPr fontId="3" type="noConversion"/>
  </si>
  <si>
    <t>武昌区中北路（不动产单元号：420106011011GB00066W00000000）一宗商业服务用地</t>
    <phoneticPr fontId="6" type="noConversion"/>
  </si>
  <si>
    <t>http://map.sogou.com/t/llLDxW</t>
    <phoneticPr fontId="228" type="noConversion"/>
  </si>
  <si>
    <t>融侨滨江城星域</t>
    <phoneticPr fontId="228" type="noConversion"/>
  </si>
  <si>
    <t>中国铁建1818中心</t>
    <phoneticPr fontId="3" type="noConversion"/>
  </si>
  <si>
    <t>中国铁建1818中心</t>
    <phoneticPr fontId="228" type="noConversion"/>
  </si>
  <si>
    <t>26000-28000</t>
    <phoneticPr fontId="228" type="noConversion"/>
  </si>
  <si>
    <r>
      <t>1</t>
    </r>
    <r>
      <rPr>
        <sz val="10"/>
        <color indexed="8"/>
        <rFont val="宋体"/>
        <family val="3"/>
        <charset val="134"/>
      </rPr>
      <t>《武汉市地下空间开发利用管理暂行规定》解读</t>
    </r>
    <r>
      <rPr>
        <sz val="10"/>
        <color indexed="8"/>
        <rFont val="Arial"/>
        <family val="2"/>
      </rPr>
      <t>http://zrzyhgh.wuhan.gov.cn/zwgk_18/zcfgyjd/zcjd/202001/t20200107_616482.shtml</t>
    </r>
    <phoneticPr fontId="9" type="noConversion"/>
  </si>
  <si>
    <t>http://zrzyhgh.wuhan.gov.cn/zwgk_18/zcfgyjd/zcjd/202001/t20200107_616482.shtml</t>
    <phoneticPr fontId="228" type="noConversion"/>
  </si>
  <si>
    <t>http://zrzyhgh.wuhan.gov.cn/zwgk_18/zcfgyjd/zhl/202001/t20200107_594927.shtml</t>
    <phoneticPr fontId="228" type="noConversion"/>
  </si>
  <si>
    <t>其他省市系数</t>
  </si>
  <si>
    <t>计容建筑面积</t>
    <phoneticPr fontId="228" type="noConversion"/>
  </si>
  <si>
    <t>其中</t>
    <phoneticPr fontId="228" type="noConversion"/>
  </si>
  <si>
    <t>地上商业</t>
    <phoneticPr fontId="228" type="noConversion"/>
  </si>
  <si>
    <t>办公</t>
    <phoneticPr fontId="228" type="noConversion"/>
  </si>
  <si>
    <t>物业管理用房</t>
    <phoneticPr fontId="228" type="noConversion"/>
  </si>
  <si>
    <t>消防及安全控制中心</t>
    <phoneticPr fontId="228" type="noConversion"/>
  </si>
  <si>
    <t>开闭所</t>
    <phoneticPr fontId="228" type="noConversion"/>
  </si>
  <si>
    <t>地下室人行出口</t>
    <phoneticPr fontId="228" type="noConversion"/>
  </si>
  <si>
    <t>地下商业</t>
    <phoneticPr fontId="228" type="noConversion"/>
  </si>
  <si>
    <t>不计容建筑面积</t>
    <phoneticPr fontId="228" type="noConversion"/>
  </si>
  <si>
    <t>其中</t>
    <phoneticPr fontId="228" type="noConversion"/>
  </si>
  <si>
    <t>装配式幕墙</t>
    <phoneticPr fontId="228" type="noConversion"/>
  </si>
  <si>
    <t>销售-集中商业（地下）</t>
    <phoneticPr fontId="3" type="noConversion"/>
  </si>
  <si>
    <t>结构转换层</t>
    <phoneticPr fontId="228" type="noConversion"/>
  </si>
  <si>
    <t>避难兼设备层</t>
    <phoneticPr fontId="228" type="noConversion"/>
  </si>
  <si>
    <t>设备管道夹层</t>
    <phoneticPr fontId="228" type="noConversion"/>
  </si>
  <si>
    <t>地下室车库和设备</t>
    <phoneticPr fontId="228" type="noConversion"/>
  </si>
  <si>
    <t>设定</t>
    <phoneticPr fontId="228" type="noConversion"/>
  </si>
  <si>
    <t>地上商业</t>
    <phoneticPr fontId="228" type="noConversion"/>
  </si>
  <si>
    <t>办公</t>
    <phoneticPr fontId="228" type="noConversion"/>
  </si>
  <si>
    <t>公寓</t>
    <phoneticPr fontId="228" type="noConversion"/>
  </si>
  <si>
    <t>地下车库</t>
    <phoneticPr fontId="228" type="noConversion"/>
  </si>
  <si>
    <t>地上设备</t>
    <phoneticPr fontId="228" type="noConversion"/>
  </si>
  <si>
    <t>人防</t>
    <phoneticPr fontId="228" type="noConversion"/>
  </si>
  <si>
    <t>地下设备</t>
    <phoneticPr fontId="228" type="noConversion"/>
  </si>
  <si>
    <t>物业管理用房</t>
    <phoneticPr fontId="228" type="noConversion"/>
  </si>
  <si>
    <t>吴薇</t>
  </si>
  <si>
    <t>其他：</t>
  </si>
  <si>
    <t>占比</t>
    <phoneticPr fontId="3" type="noConversion"/>
  </si>
  <si>
    <r>
      <rPr>
        <sz val="9"/>
        <color indexed="8"/>
        <rFont val="宋体"/>
        <family val="3"/>
        <charset val="134"/>
      </rPr>
      <t>负</t>
    </r>
    <r>
      <rPr>
        <sz val="9"/>
        <color indexed="8"/>
        <rFont val="Arial"/>
        <family val="2"/>
      </rPr>
      <t>1</t>
    </r>
    <r>
      <rPr>
        <sz val="9"/>
        <color indexed="8"/>
        <rFont val="宋体"/>
        <family val="3"/>
        <charset val="134"/>
      </rPr>
      <t>层</t>
    </r>
    <phoneticPr fontId="3" type="noConversion"/>
  </si>
  <si>
    <r>
      <t>1</t>
    </r>
    <r>
      <rPr>
        <sz val="9"/>
        <color indexed="8"/>
        <rFont val="宋体"/>
        <family val="3"/>
        <charset val="134"/>
      </rPr>
      <t>层</t>
    </r>
    <phoneticPr fontId="3" type="noConversion"/>
  </si>
  <si>
    <r>
      <t>2</t>
    </r>
    <r>
      <rPr>
        <sz val="9"/>
        <color indexed="8"/>
        <rFont val="宋体"/>
        <family val="3"/>
        <charset val="134"/>
      </rPr>
      <t>层</t>
    </r>
    <phoneticPr fontId="3" type="noConversion"/>
  </si>
  <si>
    <r>
      <t>3</t>
    </r>
    <r>
      <rPr>
        <sz val="9"/>
        <color indexed="8"/>
        <rFont val="宋体"/>
        <family val="3"/>
        <charset val="134"/>
      </rPr>
      <t>层</t>
    </r>
    <phoneticPr fontId="3" type="noConversion"/>
  </si>
  <si>
    <t>利息：取LPR加浮动点数</t>
  </si>
  <si>
    <t>主干道</t>
  </si>
  <si>
    <t>武昌区中北路与秦园东路交汇处北侧</t>
    <phoneticPr fontId="228" type="noConversion"/>
  </si>
  <si>
    <t>武昌区徐东大街与中北路交叉处西南角</t>
    <phoneticPr fontId="228" type="noConversion"/>
  </si>
  <si>
    <t>武昌区中北路与兴国南路交汇处</t>
    <phoneticPr fontId="228" type="noConversion"/>
  </si>
  <si>
    <t>223㎡不可售</t>
    <phoneticPr fontId="228" type="noConversion"/>
  </si>
  <si>
    <t>自持</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</si>
</sst>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_-* #,##0_-;\-* #,##0_-;_-* &quot;-&quot;??_-;_-@_-"/>
    <numFmt numFmtId="197" formatCode="#,##0.0"/>
    <numFmt numFmtId="198" formatCode="####00&quot;m2&quot;"/>
    <numFmt numFmtId="199" formatCode="#,##0_ "/>
    <numFmt numFmtId="200" formatCode="#,##0.00_);[Red]\(#,##0.00\)"/>
    <numFmt numFmtId="201" formatCode="#,##0_);[Red]\(#,##0\)"/>
    <numFmt numFmtId="202" formatCode="#,##0.0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5"/>
      <color theme="1"/>
      <name val="华文中宋"/>
      <family val="3"/>
      <charset val="134"/>
    </font>
    <font>
      <sz val="9"/>
      <color theme="1"/>
      <name val="华文中宋"/>
      <family val="3"/>
      <charset val="134"/>
    </font>
    <font>
      <b/>
      <sz val="9"/>
      <color theme="1"/>
      <name val="华文中宋"/>
      <family val="3"/>
      <charset val="134"/>
    </font>
    <font>
      <sz val="9"/>
      <name val="华文中宋"/>
      <family val="3"/>
      <charset val="134"/>
    </font>
    <font>
      <u/>
      <sz val="11"/>
      <color theme="10"/>
      <name val="宋体"/>
      <family val="3"/>
      <charset val="134"/>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bottom/>
      <diagonal/>
    </border>
    <border>
      <left style="thin">
        <color auto="1"/>
      </left>
      <right style="hair">
        <color auto="1"/>
      </right>
      <top/>
      <bottom/>
      <diagonal/>
    </border>
    <border>
      <left style="thin">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bottom style="hair">
        <color auto="1"/>
      </bottom>
      <diagonal/>
    </border>
    <border>
      <left/>
      <right style="hair">
        <color auto="1"/>
      </right>
      <top/>
      <bottom/>
      <diagonal/>
    </border>
    <border>
      <left style="thin">
        <color auto="1"/>
      </left>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top style="thin">
        <color auto="1"/>
      </top>
      <bottom style="hair">
        <color auto="1"/>
      </bottom>
      <diagonal/>
    </border>
    <border>
      <left style="hair">
        <color auto="1"/>
      </left>
      <right style="hair">
        <color auto="1"/>
      </right>
      <top/>
      <bottom/>
      <diagonal/>
    </border>
    <border>
      <left style="hair">
        <color auto="1"/>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pplyProtection="0"/>
    <xf numFmtId="177" fontId="81" fillId="0" borderId="0" applyFont="0" applyFill="0" applyBorder="0" applyAlignment="0" applyProtection="0">
      <alignment vertical="center"/>
    </xf>
    <xf numFmtId="0" fontId="32" fillId="0" borderId="0">
      <alignment vertical="center"/>
    </xf>
    <xf numFmtId="177" fontId="81" fillId="0" borderId="0" applyFont="0" applyFill="0" applyBorder="0" applyAlignment="0" applyProtection="0">
      <alignment vertical="center"/>
    </xf>
    <xf numFmtId="0" fontId="32" fillId="0" borderId="0"/>
    <xf numFmtId="0" fontId="86" fillId="0" borderId="0"/>
    <xf numFmtId="0" fontId="284" fillId="0" borderId="0" applyNumberFormat="0" applyFill="0" applyBorder="0" applyAlignment="0" applyProtection="0">
      <alignment vertical="center"/>
    </xf>
    <xf numFmtId="0" fontId="285" fillId="0" borderId="0"/>
    <xf numFmtId="43" fontId="287" fillId="0" borderId="0" applyFont="0" applyFill="0" applyBorder="0" applyAlignment="0" applyProtection="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79"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6"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6"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9"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6" fontId="157" fillId="12" borderId="120" xfId="13" applyNumberFormat="1" applyFont="1" applyFill="1" applyBorder="1" applyAlignment="1" applyProtection="1">
      <alignment horizontal="left" vertical="center" wrapText="1"/>
    </xf>
    <xf numFmtId="186" fontId="157" fillId="12" borderId="127" xfId="13" applyNumberFormat="1" applyFont="1" applyFill="1" applyBorder="1" applyAlignment="1" applyProtection="1">
      <alignment horizontal="left" vertical="center" wrapText="1"/>
    </xf>
    <xf numFmtId="183" fontId="152" fillId="0" borderId="122" xfId="10" applyNumberFormat="1" applyFont="1" applyBorder="1" applyAlignment="1">
      <alignment horizontal="left" vertical="center"/>
    </xf>
    <xf numFmtId="183"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6" fontId="157" fillId="12" borderId="120" xfId="13" applyNumberFormat="1" applyFont="1" applyFill="1" applyBorder="1" applyAlignment="1">
      <alignment horizontal="left" vertical="center" wrapText="1"/>
    </xf>
    <xf numFmtId="186"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6" fontId="157" fillId="12" borderId="120" xfId="10" applyNumberFormat="1" applyFont="1" applyFill="1" applyBorder="1" applyAlignment="1">
      <alignment horizontal="left" vertical="center" wrapText="1"/>
    </xf>
    <xf numFmtId="186"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6" fontId="157" fillId="12" borderId="124" xfId="10" applyNumberFormat="1" applyFont="1" applyFill="1" applyBorder="1" applyAlignment="1">
      <alignment horizontal="left" vertical="center" wrapText="1"/>
    </xf>
    <xf numFmtId="186"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6"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9"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6" fontId="157" fillId="12" borderId="130" xfId="10" applyNumberFormat="1" applyFont="1" applyFill="1" applyBorder="1" applyAlignment="1">
      <alignment horizontal="left" vertical="center" wrapText="1"/>
    </xf>
    <xf numFmtId="186" fontId="157" fillId="12" borderId="134" xfId="10" applyNumberFormat="1" applyFont="1" applyFill="1" applyBorder="1" applyAlignment="1">
      <alignment horizontal="left" vertical="center" wrapText="1"/>
    </xf>
    <xf numFmtId="186" fontId="152" fillId="14" borderId="0" xfId="10" applyNumberFormat="1" applyFont="1" applyFill="1" applyAlignment="1">
      <alignment horizontal="left" vertical="center"/>
    </xf>
    <xf numFmtId="186"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9"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80"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80"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2" fontId="152" fillId="0" borderId="0" xfId="10" applyNumberFormat="1" applyFont="1" applyAlignment="1">
      <alignment horizontal="left" vertical="center"/>
    </xf>
    <xf numFmtId="182" fontId="152" fillId="0" borderId="122" xfId="10" applyNumberFormat="1" applyFont="1" applyBorder="1" applyAlignment="1">
      <alignment horizontal="left" vertical="center"/>
    </xf>
    <xf numFmtId="179"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2"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80"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2" fontId="158" fillId="0" borderId="0" xfId="10" applyNumberFormat="1" applyFont="1" applyAlignment="1">
      <alignment horizontal="left" vertical="center"/>
    </xf>
    <xf numFmtId="182"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3" fontId="83" fillId="17" borderId="48" xfId="0" applyNumberFormat="1" applyFont="1" applyFill="1" applyBorder="1" applyAlignment="1" applyProtection="1">
      <alignment horizontal="left" vertical="center" wrapText="1"/>
      <protection locked="0"/>
    </xf>
    <xf numFmtId="178"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3"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8"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5" fontId="275" fillId="0" borderId="2" xfId="7" applyNumberFormat="1" applyFont="1" applyFill="1" applyBorder="1" applyAlignment="1">
      <alignment horizontal="left" vertical="center"/>
    </xf>
    <xf numFmtId="192"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5"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2"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5"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1"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1"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1" fontId="153" fillId="13" borderId="0" xfId="0" applyNumberFormat="1" applyFont="1" applyFill="1" applyAlignment="1" applyProtection="1">
      <alignment vertical="center"/>
    </xf>
    <xf numFmtId="183"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6"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3"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9" fontId="84" fillId="13" borderId="0" xfId="0" applyNumberFormat="1" applyFont="1" applyFill="1" applyAlignment="1" applyProtection="1">
      <alignment horizontal="center" vertical="center"/>
      <protection locked="0"/>
    </xf>
    <xf numFmtId="189"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9"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9" fontId="101" fillId="5" borderId="19" xfId="0" applyNumberFormat="1" applyFont="1" applyFill="1" applyBorder="1" applyAlignment="1" applyProtection="1">
      <protection locked="0"/>
    </xf>
    <xf numFmtId="179"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9"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9"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96" fontId="281" fillId="3" borderId="0" xfId="17" applyNumberFormat="1" applyFont="1" applyFill="1" applyBorder="1" applyAlignment="1">
      <alignment vertical="center"/>
    </xf>
    <xf numFmtId="0" fontId="281" fillId="3" borderId="0" xfId="16" applyFont="1" applyFill="1" applyAlignment="1">
      <alignment vertical="center"/>
    </xf>
    <xf numFmtId="0" fontId="281" fillId="3" borderId="0" xfId="18" applyFont="1" applyFill="1" applyAlignment="1" applyProtection="1">
      <alignment horizontal="left" vertical="center"/>
      <protection locked="0"/>
    </xf>
    <xf numFmtId="0" fontId="282" fillId="3" borderId="0" xfId="16" applyFont="1" applyFill="1" applyAlignment="1" applyProtection="1">
      <alignment horizontal="center" vertical="center"/>
      <protection locked="0"/>
    </xf>
    <xf numFmtId="0" fontId="281" fillId="3" borderId="0" xfId="16" applyFont="1" applyFill="1" applyAlignment="1" applyProtection="1">
      <alignment horizontal="right" vertical="center"/>
      <protection locked="0"/>
    </xf>
    <xf numFmtId="3" fontId="281" fillId="3" borderId="157" xfId="17" applyNumberFormat="1" applyFont="1" applyFill="1" applyBorder="1" applyAlignment="1">
      <alignment horizontal="left" vertical="center"/>
    </xf>
    <xf numFmtId="196" fontId="281" fillId="3" borderId="158" xfId="19" applyNumberFormat="1" applyFont="1" applyFill="1" applyBorder="1" applyAlignment="1">
      <alignment horizontal="right" vertical="center"/>
    </xf>
    <xf numFmtId="3" fontId="281" fillId="3" borderId="159" xfId="20" applyNumberFormat="1" applyFont="1" applyFill="1" applyBorder="1" applyAlignment="1">
      <alignment horizontal="left" vertical="center"/>
    </xf>
    <xf numFmtId="3" fontId="281" fillId="3" borderId="158" xfId="17" applyNumberFormat="1" applyFont="1" applyFill="1" applyBorder="1" applyAlignment="1">
      <alignment horizontal="right" vertical="center"/>
    </xf>
    <xf numFmtId="3" fontId="281" fillId="3" borderId="13" xfId="17" applyNumberFormat="1" applyFont="1" applyFill="1" applyBorder="1" applyAlignment="1">
      <alignment horizontal="left" vertical="center"/>
    </xf>
    <xf numFmtId="197" fontId="281" fillId="3" borderId="160" xfId="17" applyNumberFormat="1" applyFont="1" applyFill="1" applyBorder="1" applyAlignment="1">
      <alignment horizontal="right" vertical="center"/>
    </xf>
    <xf numFmtId="3" fontId="281" fillId="3" borderId="161" xfId="20" applyNumberFormat="1" applyFont="1" applyFill="1" applyBorder="1" applyAlignment="1">
      <alignment horizontal="left" vertical="center"/>
    </xf>
    <xf numFmtId="3" fontId="281" fillId="3" borderId="160" xfId="17" applyNumberFormat="1" applyFont="1" applyFill="1" applyBorder="1" applyAlignment="1">
      <alignment horizontal="right" vertical="center"/>
    </xf>
    <xf numFmtId="3" fontId="281" fillId="3" borderId="160" xfId="20" applyNumberFormat="1" applyFont="1" applyFill="1" applyBorder="1" applyAlignment="1">
      <alignment horizontal="right" vertical="center"/>
    </xf>
    <xf numFmtId="3" fontId="281" fillId="3" borderId="162" xfId="17" applyNumberFormat="1" applyFont="1" applyFill="1" applyBorder="1" applyAlignment="1">
      <alignment horizontal="left" vertical="center"/>
    </xf>
    <xf numFmtId="3" fontId="281" fillId="3" borderId="163" xfId="17" applyNumberFormat="1" applyFont="1" applyFill="1" applyBorder="1" applyAlignment="1">
      <alignment horizontal="right" vertical="center"/>
    </xf>
    <xf numFmtId="3" fontId="281" fillId="3" borderId="164" xfId="20" applyNumberFormat="1" applyFont="1" applyFill="1" applyBorder="1" applyAlignment="1">
      <alignment horizontal="left" vertical="center"/>
    </xf>
    <xf numFmtId="3" fontId="281" fillId="3" borderId="163" xfId="17" applyNumberFormat="1" applyFont="1" applyFill="1" applyBorder="1" applyAlignment="1">
      <alignment horizontal="right" vertical="center" wrapText="1"/>
    </xf>
    <xf numFmtId="3" fontId="281" fillId="3" borderId="163" xfId="20" applyNumberFormat="1" applyFont="1" applyFill="1" applyBorder="1" applyAlignment="1">
      <alignment horizontal="right" vertical="center"/>
    </xf>
    <xf numFmtId="181" fontId="281" fillId="3" borderId="5" xfId="17" applyNumberFormat="1" applyFont="1" applyFill="1" applyBorder="1" applyAlignment="1">
      <alignment horizontal="left" vertical="center"/>
    </xf>
    <xf numFmtId="181" fontId="281" fillId="3" borderId="8" xfId="17" applyNumberFormat="1" applyFont="1" applyFill="1" applyBorder="1" applyAlignment="1">
      <alignment horizontal="center" vertical="center"/>
    </xf>
    <xf numFmtId="198" fontId="281" fillId="3" borderId="8" xfId="20" applyNumberFormat="1" applyFont="1" applyFill="1" applyBorder="1" applyAlignment="1">
      <alignment horizontal="center" vertical="center"/>
    </xf>
    <xf numFmtId="0" fontId="281" fillId="3" borderId="8" xfId="20" applyFont="1" applyFill="1" applyBorder="1" applyAlignment="1">
      <alignment horizontal="center" vertical="center"/>
    </xf>
    <xf numFmtId="0" fontId="281" fillId="3" borderId="9" xfId="20" applyFont="1" applyFill="1" applyBorder="1" applyAlignment="1">
      <alignment horizontal="center" vertical="center"/>
    </xf>
    <xf numFmtId="0" fontId="281" fillId="3" borderId="5" xfId="20" applyFont="1" applyFill="1" applyBorder="1" applyAlignment="1">
      <alignment horizontal="center" vertical="center"/>
    </xf>
    <xf numFmtId="0" fontId="281" fillId="3" borderId="5" xfId="20" applyFont="1" applyFill="1" applyBorder="1" applyAlignment="1">
      <alignment horizontal="center" vertical="center" wrapText="1"/>
    </xf>
    <xf numFmtId="199" fontId="281" fillId="3" borderId="165" xfId="20" applyNumberFormat="1" applyFont="1" applyFill="1" applyBorder="1" applyAlignment="1">
      <alignment horizontal="center" vertical="center" wrapText="1"/>
    </xf>
    <xf numFmtId="0" fontId="281" fillId="3" borderId="166" xfId="20" applyFont="1" applyFill="1" applyBorder="1" applyAlignment="1">
      <alignment horizontal="center" vertical="center" wrapText="1"/>
    </xf>
    <xf numFmtId="0" fontId="281" fillId="3" borderId="2" xfId="20" applyFont="1" applyFill="1" applyBorder="1" applyAlignment="1">
      <alignment horizontal="center" vertical="center" wrapText="1"/>
    </xf>
    <xf numFmtId="0" fontId="283" fillId="3" borderId="167" xfId="20" applyFont="1" applyFill="1" applyBorder="1" applyAlignment="1">
      <alignment vertical="center"/>
    </xf>
    <xf numFmtId="177" fontId="283" fillId="3" borderId="168" xfId="17" applyFont="1" applyFill="1" applyBorder="1" applyAlignment="1">
      <alignment horizontal="right" vertical="center" wrapText="1"/>
    </xf>
    <xf numFmtId="177" fontId="281" fillId="3" borderId="169" xfId="17" applyFont="1" applyFill="1" applyBorder="1" applyAlignment="1">
      <alignment horizontal="right" vertical="center" wrapText="1"/>
    </xf>
    <xf numFmtId="177" fontId="283" fillId="3" borderId="167" xfId="17" applyFont="1" applyFill="1" applyBorder="1" applyAlignment="1">
      <alignment vertical="center"/>
    </xf>
    <xf numFmtId="200" fontId="283" fillId="0" borderId="170" xfId="19" applyNumberFormat="1" applyFont="1" applyFill="1" applyBorder="1" applyAlignment="1">
      <alignment horizontal="right" vertical="center"/>
    </xf>
    <xf numFmtId="0" fontId="281" fillId="3" borderId="169" xfId="20" applyFont="1" applyFill="1" applyBorder="1" applyAlignment="1">
      <alignment horizontal="left" vertical="center"/>
    </xf>
    <xf numFmtId="177" fontId="281" fillId="8" borderId="171" xfId="17" applyFont="1" applyFill="1" applyBorder="1" applyAlignment="1">
      <alignment horizontal="right" vertical="center"/>
    </xf>
    <xf numFmtId="177" fontId="281" fillId="3" borderId="172" xfId="17" applyFont="1" applyFill="1" applyBorder="1" applyAlignment="1">
      <alignment horizontal="right" vertical="center" wrapText="1"/>
    </xf>
    <xf numFmtId="177" fontId="281" fillId="3" borderId="173" xfId="17" applyFont="1" applyFill="1" applyBorder="1" applyAlignment="1">
      <alignment horizontal="right" vertical="center" wrapText="1"/>
    </xf>
    <xf numFmtId="200" fontId="283" fillId="0" borderId="0" xfId="19" applyNumberFormat="1" applyFont="1" applyFill="1" applyBorder="1" applyAlignment="1">
      <alignment horizontal="right" vertical="center"/>
    </xf>
    <xf numFmtId="201" fontId="283" fillId="0" borderId="170" xfId="19" applyNumberFormat="1" applyFont="1" applyFill="1" applyBorder="1" applyAlignment="1">
      <alignment horizontal="right" vertical="center"/>
    </xf>
    <xf numFmtId="0" fontId="281" fillId="3" borderId="174" xfId="20" applyFont="1" applyFill="1" applyBorder="1" applyAlignment="1">
      <alignment horizontal="left" vertical="center"/>
    </xf>
    <xf numFmtId="177" fontId="281" fillId="8" borderId="175" xfId="17" applyFont="1" applyFill="1" applyBorder="1" applyAlignment="1">
      <alignment horizontal="right" vertical="center"/>
    </xf>
    <xf numFmtId="177" fontId="281" fillId="3" borderId="176" xfId="17" applyFont="1" applyFill="1" applyBorder="1" applyAlignment="1">
      <alignment horizontal="right" vertical="center" wrapText="1"/>
    </xf>
    <xf numFmtId="177" fontId="281" fillId="3" borderId="177" xfId="17" applyFont="1" applyFill="1" applyBorder="1" applyAlignment="1">
      <alignment horizontal="right" vertical="center" wrapText="1"/>
    </xf>
    <xf numFmtId="177" fontId="281" fillId="3" borderId="174" xfId="17" applyFont="1" applyFill="1" applyBorder="1" applyAlignment="1">
      <alignment horizontal="right" vertical="center" wrapText="1"/>
    </xf>
    <xf numFmtId="0" fontId="281" fillId="3" borderId="21" xfId="20" applyFont="1" applyFill="1" applyBorder="1" applyAlignment="1">
      <alignment horizontal="left" vertical="center"/>
    </xf>
    <xf numFmtId="177" fontId="281" fillId="3" borderId="17" xfId="17" applyFont="1" applyFill="1" applyBorder="1" applyAlignment="1">
      <alignment horizontal="right" vertical="center"/>
    </xf>
    <xf numFmtId="177" fontId="281" fillId="3" borderId="178" xfId="17" applyFont="1" applyFill="1" applyBorder="1" applyAlignment="1">
      <alignment horizontal="right" vertical="center" wrapText="1"/>
    </xf>
    <xf numFmtId="177" fontId="281" fillId="3" borderId="179" xfId="17" applyFont="1" applyFill="1" applyBorder="1" applyAlignment="1">
      <alignment horizontal="right" vertical="center" wrapText="1"/>
    </xf>
    <xf numFmtId="177" fontId="281" fillId="3" borderId="21" xfId="17" applyFont="1" applyFill="1" applyBorder="1" applyAlignment="1">
      <alignment horizontal="right" vertical="center" wrapText="1"/>
    </xf>
    <xf numFmtId="0" fontId="281" fillId="3" borderId="2" xfId="20" applyFont="1" applyFill="1" applyBorder="1" applyAlignment="1">
      <alignment horizontal="center" vertical="center"/>
    </xf>
    <xf numFmtId="177" fontId="281" fillId="0" borderId="5" xfId="17" applyFont="1" applyFill="1" applyBorder="1" applyAlignment="1">
      <alignment horizontal="right" vertical="center"/>
    </xf>
    <xf numFmtId="177" fontId="281" fillId="0" borderId="165" xfId="17" applyFont="1" applyFill="1" applyBorder="1" applyAlignment="1">
      <alignment horizontal="right" vertical="center" wrapText="1"/>
    </xf>
    <xf numFmtId="177" fontId="281" fillId="0" borderId="166" xfId="17" applyFont="1" applyFill="1" applyBorder="1" applyAlignment="1">
      <alignment horizontal="right" vertical="center" wrapText="1"/>
    </xf>
    <xf numFmtId="177" fontId="281" fillId="3" borderId="2" xfId="17" applyFont="1" applyFill="1" applyBorder="1" applyAlignment="1">
      <alignment horizontal="right" vertical="center" wrapText="1"/>
    </xf>
    <xf numFmtId="0" fontId="281" fillId="0" borderId="169" xfId="20" applyFont="1" applyBorder="1" applyAlignment="1">
      <alignment horizontal="left" vertical="center"/>
    </xf>
    <xf numFmtId="177" fontId="283" fillId="3" borderId="169" xfId="19" applyFont="1" applyFill="1" applyBorder="1" applyAlignment="1">
      <alignment horizontal="right" vertical="center"/>
    </xf>
    <xf numFmtId="177" fontId="281" fillId="0" borderId="157" xfId="17" applyFont="1" applyFill="1" applyBorder="1" applyAlignment="1">
      <alignment horizontal="right" vertical="center"/>
    </xf>
    <xf numFmtId="177" fontId="281" fillId="3" borderId="167" xfId="17" applyFont="1" applyFill="1" applyBorder="1" applyAlignment="1">
      <alignment horizontal="left" vertical="center" wrapText="1"/>
    </xf>
    <xf numFmtId="177" fontId="281" fillId="3" borderId="0" xfId="16" applyNumberFormat="1" applyFont="1" applyFill="1" applyAlignment="1">
      <alignment vertical="center"/>
    </xf>
    <xf numFmtId="177" fontId="281" fillId="8" borderId="171" xfId="19" applyFont="1" applyFill="1" applyBorder="1" applyAlignment="1">
      <alignment horizontal="right" vertical="center"/>
    </xf>
    <xf numFmtId="177" fontId="281" fillId="3" borderId="169" xfId="17" applyFont="1" applyFill="1" applyBorder="1" applyAlignment="1">
      <alignment horizontal="left" vertical="center" wrapText="1"/>
    </xf>
    <xf numFmtId="0" fontId="281" fillId="0" borderId="171" xfId="20" applyFont="1" applyBorder="1" applyAlignment="1">
      <alignment horizontal="left" vertical="center"/>
    </xf>
    <xf numFmtId="177" fontId="281" fillId="0" borderId="2" xfId="17" applyFont="1" applyFill="1" applyBorder="1" applyAlignment="1">
      <alignment horizontal="right" vertical="center" wrapText="1"/>
    </xf>
    <xf numFmtId="0" fontId="281" fillId="0" borderId="169" xfId="20" applyFont="1" applyBorder="1" applyAlignment="1">
      <alignment vertical="center"/>
    </xf>
    <xf numFmtId="177" fontId="281" fillId="8" borderId="157" xfId="17" applyFont="1" applyFill="1" applyBorder="1" applyAlignment="1">
      <alignment horizontal="right" vertical="center"/>
    </xf>
    <xf numFmtId="177" fontId="281" fillId="3" borderId="168" xfId="17" applyFont="1" applyFill="1" applyBorder="1" applyAlignment="1">
      <alignment horizontal="right" vertical="center" wrapText="1"/>
    </xf>
    <xf numFmtId="177" fontId="281" fillId="3" borderId="180" xfId="17" applyFont="1" applyFill="1" applyBorder="1" applyAlignment="1">
      <alignment horizontal="right" vertical="center" wrapText="1"/>
    </xf>
    <xf numFmtId="177" fontId="281" fillId="3" borderId="167" xfId="17" applyFont="1" applyFill="1" applyBorder="1" applyAlignment="1">
      <alignment horizontal="right" vertical="center" wrapText="1"/>
    </xf>
    <xf numFmtId="177" fontId="281" fillId="3" borderId="169" xfId="19" applyFont="1" applyFill="1" applyBorder="1" applyAlignment="1">
      <alignment horizontal="right" vertical="center" wrapText="1"/>
    </xf>
    <xf numFmtId="43" fontId="281" fillId="3" borderId="0" xfId="16" applyNumberFormat="1" applyFont="1" applyFill="1" applyAlignment="1">
      <alignment vertical="center"/>
    </xf>
    <xf numFmtId="177" fontId="281" fillId="8" borderId="13" xfId="17" applyFont="1" applyFill="1" applyBorder="1" applyAlignment="1">
      <alignment horizontal="right" vertical="center"/>
    </xf>
    <xf numFmtId="177" fontId="281" fillId="3" borderId="181" xfId="17" applyFont="1" applyFill="1" applyBorder="1" applyAlignment="1">
      <alignment horizontal="right" vertical="center" wrapText="1"/>
    </xf>
    <xf numFmtId="177" fontId="281" fillId="3" borderId="182" xfId="17" applyFont="1" applyFill="1" applyBorder="1" applyAlignment="1">
      <alignment horizontal="right" vertical="center" wrapText="1"/>
    </xf>
    <xf numFmtId="177" fontId="281" fillId="3" borderId="167" xfId="19" applyFont="1" applyFill="1" applyBorder="1" applyAlignment="1">
      <alignment horizontal="right" vertical="center" wrapText="1"/>
    </xf>
    <xf numFmtId="199" fontId="281" fillId="0" borderId="175" xfId="19" applyNumberFormat="1" applyFont="1" applyFill="1" applyBorder="1" applyAlignment="1">
      <alignment horizontal="left" vertical="center"/>
    </xf>
    <xf numFmtId="0" fontId="281" fillId="0" borderId="167" xfId="20" applyFont="1" applyBorder="1" applyAlignment="1">
      <alignment horizontal="left" vertical="center"/>
    </xf>
    <xf numFmtId="0" fontId="281" fillId="0" borderId="10" xfId="20" applyFont="1" applyBorder="1" applyAlignment="1">
      <alignment horizontal="left" vertical="center"/>
    </xf>
    <xf numFmtId="0" fontId="281" fillId="3" borderId="5" xfId="20" applyFont="1" applyFill="1" applyBorder="1" applyAlignment="1">
      <alignment horizontal="left" vertical="center"/>
    </xf>
    <xf numFmtId="199" fontId="281" fillId="0" borderId="17" xfId="17" applyNumberFormat="1" applyFont="1" applyFill="1" applyBorder="1" applyAlignment="1">
      <alignment horizontal="right" vertical="center"/>
    </xf>
    <xf numFmtId="199" fontId="281" fillId="0" borderId="178"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wrapText="1"/>
    </xf>
    <xf numFmtId="199" fontId="281" fillId="0" borderId="21"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xf>
    <xf numFmtId="199" fontId="281" fillId="0" borderId="21" xfId="17" applyNumberFormat="1" applyFont="1" applyFill="1" applyBorder="1" applyAlignment="1">
      <alignment horizontal="right" vertical="center"/>
    </xf>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9" fontId="81" fillId="0" borderId="2" xfId="2" applyNumberFormat="1"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21" applyAlignment="1">
      <alignment horizontal="left" vertical="center"/>
    </xf>
    <xf numFmtId="0" fontId="158" fillId="0" borderId="0" xfId="21" applyFont="1" applyAlignment="1">
      <alignment horizontal="left" vertical="center"/>
    </xf>
    <xf numFmtId="0" fontId="284" fillId="0" borderId="0" xfId="22" applyAlignment="1">
      <alignment horizontal="left" vertical="center"/>
    </xf>
    <xf numFmtId="0" fontId="86" fillId="6" borderId="0" xfId="21" applyFill="1" applyAlignment="1">
      <alignment horizontal="left" vertical="center"/>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86" fillId="0" borderId="0" xfId="23" applyNumberFormat="1" applyFont="1"/>
    <xf numFmtId="0" fontId="286" fillId="6" borderId="0" xfId="23" applyNumberFormat="1" applyFont="1" applyFill="1"/>
    <xf numFmtId="0" fontId="115" fillId="0"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1" fillId="0" borderId="6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0" borderId="0" xfId="23" applyNumberFormat="1" applyFont="1" applyAlignment="1">
      <alignment horizontal="left" vertical="center"/>
    </xf>
    <xf numFmtId="0" fontId="286" fillId="0" borderId="0" xfId="23" applyNumberFormat="1" applyFont="1" applyAlignment="1">
      <alignment horizontal="left" vertical="center" wrapText="1"/>
    </xf>
    <xf numFmtId="0" fontId="169" fillId="0" borderId="0" xfId="23" applyNumberFormat="1" applyFont="1" applyAlignment="1">
      <alignment horizontal="left" vertical="center"/>
    </xf>
    <xf numFmtId="0" fontId="82" fillId="13" borderId="0" xfId="0" applyFont="1" applyFill="1" applyAlignment="1" applyProtection="1">
      <alignment vertical="center"/>
      <protection locked="0"/>
    </xf>
    <xf numFmtId="10" fontId="281" fillId="3" borderId="0" xfId="16" applyNumberFormat="1" applyFont="1" applyFill="1" applyAlignment="1">
      <alignment vertical="center"/>
    </xf>
    <xf numFmtId="0" fontId="284" fillId="0" borderId="0" xfId="22">
      <alignment vertical="center"/>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79" fontId="75" fillId="0" borderId="44" xfId="0" applyNumberFormat="1" applyFont="1" applyFill="1" applyBorder="1" applyAlignment="1" applyProtection="1">
      <alignment horizontal="center" vertical="center"/>
      <protection locked="0"/>
    </xf>
    <xf numFmtId="1" fontId="257" fillId="5" borderId="2" xfId="14" applyNumberFormat="1" applyFont="1" applyFill="1" applyBorder="1" applyAlignment="1" applyProtection="1">
      <alignment horizontal="left" vertical="center" wrapText="1"/>
    </xf>
    <xf numFmtId="1" fontId="257" fillId="0" borderId="10" xfId="14" applyNumberFormat="1" applyFont="1" applyFill="1" applyBorder="1" applyAlignment="1" applyProtection="1">
      <alignment horizontal="left" vertical="center" wrapText="1"/>
      <protection locked="0"/>
    </xf>
    <xf numFmtId="1" fontId="178" fillId="5" borderId="10" xfId="0" applyNumberFormat="1" applyFont="1" applyFill="1" applyBorder="1" applyAlignment="1" applyProtection="1">
      <alignment horizontal="center" vertical="center" wrapText="1"/>
    </xf>
    <xf numFmtId="179" fontId="179" fillId="5" borderId="8" xfId="0" applyNumberFormat="1" applyFont="1" applyFill="1" applyBorder="1" applyAlignment="1" applyProtection="1">
      <alignment horizontal="center" vertical="center" wrapText="1"/>
    </xf>
    <xf numFmtId="0" fontId="281" fillId="3" borderId="0" xfId="0" applyFont="1" applyFill="1" applyAlignment="1" applyProtection="1">
      <alignment horizontal="left" vertical="center"/>
      <protection locked="0"/>
    </xf>
    <xf numFmtId="0" fontId="0" fillId="0" borderId="2" xfId="0" applyBorder="1">
      <alignment vertical="center"/>
    </xf>
    <xf numFmtId="3" fontId="281" fillId="3" borderId="157" xfId="24" applyNumberFormat="1" applyFont="1" applyFill="1" applyBorder="1" applyAlignment="1">
      <alignment horizontal="left" vertical="center"/>
    </xf>
    <xf numFmtId="3" fontId="281" fillId="3" borderId="158" xfId="24" applyNumberFormat="1" applyFont="1" applyFill="1" applyBorder="1" applyAlignment="1">
      <alignment horizontal="right" vertical="center"/>
    </xf>
    <xf numFmtId="0" fontId="145" fillId="0" borderId="2" xfId="0" applyFont="1" applyBorder="1">
      <alignment vertical="center"/>
    </xf>
    <xf numFmtId="3" fontId="281" fillId="3" borderId="13" xfId="24" applyNumberFormat="1" applyFont="1" applyFill="1" applyBorder="1" applyAlignment="1">
      <alignment horizontal="left" vertical="center"/>
    </xf>
    <xf numFmtId="197" fontId="281" fillId="3" borderId="160" xfId="24" applyNumberFormat="1" applyFont="1" applyFill="1" applyBorder="1" applyAlignment="1">
      <alignment horizontal="right" vertical="center"/>
    </xf>
    <xf numFmtId="3" fontId="281" fillId="3" borderId="160" xfId="24" applyNumberFormat="1" applyFont="1" applyFill="1" applyBorder="1" applyAlignment="1">
      <alignment horizontal="right" vertical="center"/>
    </xf>
    <xf numFmtId="3" fontId="281" fillId="3" borderId="162" xfId="24" applyNumberFormat="1" applyFont="1" applyFill="1" applyBorder="1" applyAlignment="1">
      <alignment horizontal="left" vertical="center"/>
    </xf>
    <xf numFmtId="3" fontId="281" fillId="3" borderId="163" xfId="24" applyNumberFormat="1" applyFont="1" applyFill="1" applyBorder="1" applyAlignment="1">
      <alignment horizontal="right" vertical="center"/>
    </xf>
    <xf numFmtId="3" fontId="281" fillId="3" borderId="163" xfId="24" applyNumberFormat="1" applyFont="1" applyFill="1" applyBorder="1" applyAlignment="1">
      <alignment horizontal="right" vertical="center" wrapText="1"/>
    </xf>
    <xf numFmtId="0" fontId="0" fillId="9" borderId="2" xfId="0" applyFill="1" applyBorder="1">
      <alignment vertical="center"/>
    </xf>
    <xf numFmtId="181" fontId="281" fillId="3" borderId="5" xfId="24" applyNumberFormat="1" applyFont="1" applyFill="1" applyBorder="1" applyAlignment="1">
      <alignment horizontal="left" vertical="center"/>
    </xf>
    <xf numFmtId="181" fontId="281" fillId="3" borderId="8" xfId="24" applyNumberFormat="1" applyFont="1" applyFill="1" applyBorder="1" applyAlignment="1">
      <alignment horizontal="center" vertical="center"/>
    </xf>
    <xf numFmtId="0" fontId="0" fillId="20" borderId="2" xfId="0" applyFill="1" applyBorder="1">
      <alignment vertical="center"/>
    </xf>
    <xf numFmtId="0" fontId="0" fillId="21" borderId="2" xfId="0" applyFill="1" applyBorder="1">
      <alignment vertical="center"/>
    </xf>
    <xf numFmtId="43" fontId="281" fillId="8" borderId="171" xfId="24" applyFont="1" applyFill="1" applyBorder="1" applyAlignment="1">
      <alignment horizontal="right" vertical="center"/>
    </xf>
    <xf numFmtId="43" fontId="281" fillId="0" borderId="157" xfId="24" applyFont="1" applyFill="1" applyBorder="1" applyAlignment="1">
      <alignment horizontal="right" vertical="center"/>
    </xf>
    <xf numFmtId="43" fontId="281" fillId="3" borderId="167" xfId="24" applyFont="1" applyFill="1" applyBorder="1" applyAlignment="1">
      <alignment horizontal="left" vertical="center" wrapText="1"/>
    </xf>
    <xf numFmtId="43" fontId="0" fillId="0" borderId="0" xfId="0" applyNumberFormat="1">
      <alignment vertical="center"/>
    </xf>
    <xf numFmtId="43" fontId="281" fillId="3" borderId="169" xfId="24" applyFont="1" applyFill="1" applyBorder="1" applyAlignment="1">
      <alignment horizontal="left" vertical="center" wrapText="1"/>
    </xf>
    <xf numFmtId="0" fontId="0" fillId="6" borderId="2" xfId="0" applyFill="1" applyBorder="1">
      <alignment vertical="center"/>
    </xf>
    <xf numFmtId="43" fontId="281" fillId="0" borderId="165" xfId="24" applyFont="1" applyFill="1" applyBorder="1" applyAlignment="1">
      <alignment horizontal="right" vertical="center" wrapText="1"/>
    </xf>
    <xf numFmtId="43" fontId="281" fillId="0" borderId="2" xfId="24" applyFont="1" applyFill="1" applyBorder="1" applyAlignment="1">
      <alignment horizontal="right" vertical="center" wrapText="1"/>
    </xf>
    <xf numFmtId="0" fontId="145" fillId="0" borderId="2" xfId="0" applyFont="1" applyFill="1" applyBorder="1">
      <alignment vertical="center"/>
    </xf>
    <xf numFmtId="43" fontId="281" fillId="8" borderId="157" xfId="24" applyFont="1" applyFill="1" applyBorder="1" applyAlignment="1">
      <alignment horizontal="right" vertical="center"/>
    </xf>
    <xf numFmtId="43" fontId="281" fillId="6" borderId="168" xfId="24" applyFont="1" applyFill="1" applyBorder="1" applyAlignment="1">
      <alignment horizontal="right" vertical="center" wrapText="1"/>
    </xf>
    <xf numFmtId="43" fontId="281" fillId="3" borderId="180" xfId="24" applyFont="1" applyFill="1" applyBorder="1" applyAlignment="1">
      <alignment horizontal="right" vertical="center" wrapText="1"/>
    </xf>
    <xf numFmtId="43" fontId="281" fillId="3" borderId="167" xfId="24" applyFont="1" applyFill="1" applyBorder="1" applyAlignment="1">
      <alignment horizontal="right" vertical="center" wrapText="1"/>
    </xf>
    <xf numFmtId="0" fontId="0" fillId="17" borderId="2" xfId="0" applyFill="1" applyBorder="1">
      <alignment vertical="center"/>
    </xf>
    <xf numFmtId="43" fontId="281" fillId="8" borderId="175" xfId="24" applyFont="1" applyFill="1" applyBorder="1" applyAlignment="1">
      <alignment horizontal="right" vertical="center"/>
    </xf>
    <xf numFmtId="43" fontId="281" fillId="3" borderId="176" xfId="24" applyFont="1" applyFill="1" applyBorder="1" applyAlignment="1">
      <alignment horizontal="right" vertical="center" wrapText="1"/>
    </xf>
    <xf numFmtId="43" fontId="281" fillId="3" borderId="177" xfId="24" applyFont="1" applyFill="1" applyBorder="1" applyAlignment="1">
      <alignment horizontal="right" vertical="center" wrapText="1"/>
    </xf>
    <xf numFmtId="43" fontId="281" fillId="8" borderId="13" xfId="24" applyFont="1" applyFill="1" applyBorder="1" applyAlignment="1">
      <alignment horizontal="right" vertical="center"/>
    </xf>
    <xf numFmtId="43" fontId="281" fillId="3" borderId="181" xfId="24" applyFont="1" applyFill="1" applyBorder="1" applyAlignment="1">
      <alignment horizontal="right" vertical="center" wrapText="1"/>
    </xf>
    <xf numFmtId="43" fontId="281" fillId="3" borderId="182" xfId="24" applyFont="1" applyFill="1" applyBorder="1" applyAlignment="1">
      <alignment horizontal="right" vertical="center" wrapText="1"/>
    </xf>
    <xf numFmtId="43" fontId="281" fillId="0" borderId="5" xfId="24" applyFont="1" applyFill="1" applyBorder="1" applyAlignment="1">
      <alignment horizontal="right" vertical="center"/>
    </xf>
    <xf numFmtId="43" fontId="281" fillId="17" borderId="168" xfId="24" applyFont="1" applyFill="1" applyBorder="1" applyAlignment="1">
      <alignment horizontal="right" vertical="center" wrapText="1"/>
    </xf>
    <xf numFmtId="43" fontId="281" fillId="20" borderId="176" xfId="24" applyFont="1" applyFill="1" applyBorder="1" applyAlignment="1">
      <alignment horizontal="right" vertical="center" wrapText="1"/>
    </xf>
    <xf numFmtId="43" fontId="281" fillId="3" borderId="174" xfId="24" applyFont="1" applyFill="1" applyBorder="1" applyAlignment="1">
      <alignment horizontal="right" vertical="center" wrapText="1"/>
    </xf>
    <xf numFmtId="43" fontId="281" fillId="3" borderId="17" xfId="24" applyFont="1" applyFill="1" applyBorder="1" applyAlignment="1">
      <alignment horizontal="right" vertical="center"/>
    </xf>
    <xf numFmtId="43" fontId="281" fillId="9" borderId="178" xfId="24" applyFont="1" applyFill="1" applyBorder="1" applyAlignment="1">
      <alignment horizontal="right" vertical="center" wrapText="1"/>
    </xf>
    <xf numFmtId="43" fontId="281" fillId="3" borderId="179" xfId="24" applyFont="1" applyFill="1" applyBorder="1" applyAlignment="1">
      <alignment horizontal="right" vertical="center" wrapText="1"/>
    </xf>
    <xf numFmtId="43" fontId="281" fillId="3" borderId="21" xfId="24" applyFont="1" applyFill="1" applyBorder="1" applyAlignment="1">
      <alignment horizontal="right" vertical="center" wrapText="1"/>
    </xf>
    <xf numFmtId="43" fontId="281" fillId="21" borderId="178" xfId="24" applyFont="1" applyFill="1" applyBorder="1" applyAlignment="1">
      <alignment horizontal="right" vertical="center" wrapText="1"/>
    </xf>
    <xf numFmtId="43" fontId="281" fillId="3" borderId="178" xfId="24" applyFont="1" applyFill="1" applyBorder="1" applyAlignment="1">
      <alignment horizontal="right" vertical="center" wrapText="1"/>
    </xf>
    <xf numFmtId="0" fontId="0" fillId="0" borderId="0" xfId="0" applyNumberFormat="1">
      <alignment vertical="center"/>
    </xf>
    <xf numFmtId="199" fontId="281" fillId="0" borderId="17" xfId="24" applyNumberFormat="1" applyFont="1" applyFill="1" applyBorder="1" applyAlignment="1">
      <alignment horizontal="right" vertical="center"/>
    </xf>
    <xf numFmtId="199" fontId="281" fillId="0" borderId="178" xfId="24" applyNumberFormat="1" applyFont="1" applyFill="1" applyBorder="1" applyAlignment="1">
      <alignment horizontal="right" vertical="center" wrapText="1"/>
    </xf>
    <xf numFmtId="199" fontId="281" fillId="0" borderId="179" xfId="24" applyNumberFormat="1" applyFont="1" applyFill="1" applyBorder="1" applyAlignment="1">
      <alignment horizontal="right" vertical="center" wrapText="1"/>
    </xf>
    <xf numFmtId="199" fontId="281" fillId="0" borderId="21" xfId="24" applyNumberFormat="1" applyFont="1" applyFill="1" applyBorder="1" applyAlignment="1">
      <alignment horizontal="right" vertical="center" wrapText="1"/>
    </xf>
    <xf numFmtId="202" fontId="281" fillId="0" borderId="179" xfId="24" applyNumberFormat="1" applyFont="1" applyFill="1" applyBorder="1" applyAlignment="1">
      <alignment horizontal="right" vertical="center"/>
    </xf>
    <xf numFmtId="199" fontId="281" fillId="0" borderId="179" xfId="24" applyNumberFormat="1" applyFont="1" applyFill="1" applyBorder="1" applyAlignment="1">
      <alignment horizontal="right" vertical="center"/>
    </xf>
    <xf numFmtId="199" fontId="281" fillId="0" borderId="21" xfId="24" applyNumberFormat="1" applyFont="1" applyFill="1" applyBorder="1" applyAlignment="1">
      <alignment horizontal="right" vertical="center"/>
    </xf>
    <xf numFmtId="0" fontId="91" fillId="13" borderId="0" xfId="0" applyFont="1" applyFill="1" applyAlignment="1" applyProtection="1">
      <alignment vertical="center"/>
      <protection locked="0"/>
    </xf>
    <xf numFmtId="0" fontId="91" fillId="9" borderId="0" xfId="0" applyFont="1" applyFill="1" applyAlignment="1" applyProtection="1">
      <alignment vertical="center"/>
      <protection locked="0"/>
    </xf>
    <xf numFmtId="2" fontId="91" fillId="13" borderId="0" xfId="0" applyNumberFormat="1" applyFont="1" applyFill="1" applyAlignment="1" applyProtection="1">
      <alignment vertical="center"/>
      <protection locked="0"/>
    </xf>
    <xf numFmtId="0" fontId="127" fillId="6" borderId="0" xfId="21" applyFont="1" applyFill="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0" fontId="280" fillId="3" borderId="0" xfId="16" applyFont="1" applyFill="1" applyAlignment="1" applyProtection="1">
      <alignment horizontal="center" vertical="center"/>
      <protection locked="0"/>
    </xf>
    <xf numFmtId="0" fontId="145" fillId="0" borderId="2" xfId="0" applyFont="1" applyBorder="1" applyAlignment="1">
      <alignment horizontal="center" vertical="center"/>
    </xf>
    <xf numFmtId="0" fontId="281" fillId="3" borderId="10" xfId="20" applyFont="1" applyFill="1" applyBorder="1" applyAlignment="1">
      <alignment horizontal="left" vertical="center"/>
    </xf>
    <xf numFmtId="0" fontId="281" fillId="3" borderId="3" xfId="20" applyFont="1" applyFill="1" applyBorder="1" applyAlignment="1">
      <alignment horizontal="left" vertical="center"/>
    </xf>
    <xf numFmtId="0" fontId="281" fillId="3" borderId="21" xfId="20" applyFont="1" applyFill="1" applyBorder="1" applyAlignment="1">
      <alignment horizontal="left" vertical="center"/>
    </xf>
    <xf numFmtId="0" fontId="0" fillId="0" borderId="2" xfId="0" applyBorder="1" applyAlignment="1">
      <alignment horizontal="center" vertical="center"/>
    </xf>
    <xf numFmtId="196" fontId="282" fillId="3" borderId="2" xfId="17"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6"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8" fillId="20" borderId="30" xfId="0" applyNumberFormat="1" applyFont="1" applyFill="1" applyBorder="1" applyAlignment="1" applyProtection="1">
      <alignment vertical="center" wrapText="1"/>
      <protection locked="0"/>
    </xf>
    <xf numFmtId="179" fontId="76" fillId="20" borderId="2" xfId="2" applyNumberFormat="1" applyFont="1" applyFill="1" applyBorder="1" applyAlignment="1" applyProtection="1">
      <alignment horizontal="center" vertical="center"/>
      <protection locked="0"/>
    </xf>
    <xf numFmtId="183" fontId="71" fillId="20" borderId="2" xfId="0" applyNumberFormat="1" applyFont="1" applyFill="1" applyBorder="1" applyAlignment="1" applyProtection="1">
      <alignment vertical="center"/>
      <protection locked="0"/>
    </xf>
    <xf numFmtId="10" fontId="76" fillId="13" borderId="0" xfId="0" applyNumberFormat="1" applyFont="1" applyFill="1" applyAlignment="1" applyProtection="1">
      <alignment horizontal="center" vertical="center"/>
      <protection locked="0"/>
    </xf>
    <xf numFmtId="0" fontId="133" fillId="20" borderId="63" xfId="0" applyFont="1" applyFill="1" applyBorder="1" applyAlignment="1" applyProtection="1">
      <alignment horizontal="left" vertical="center" wrapText="1"/>
      <protection locked="0"/>
    </xf>
    <xf numFmtId="0" fontId="86" fillId="9" borderId="25" xfId="2" applyNumberFormat="1" applyFont="1" applyFill="1" applyBorder="1" applyAlignment="1" applyProtection="1">
      <alignment horizontal="center" vertical="center"/>
      <protection locked="0"/>
    </xf>
  </cellXfs>
  <cellStyles count="25">
    <cellStyle name="百分比 2" xfId="11" xr:uid="{00000000-0005-0000-0000-000000000000}"/>
    <cellStyle name="常规" xfId="0" builtinId="0"/>
    <cellStyle name="常规 10" xfId="18" xr:uid="{00000000-0005-0000-0000-000002000000}"/>
    <cellStyle name="常规 11" xfId="21" xr:uid="{00000000-0005-0000-0000-000003000000}"/>
    <cellStyle name="常规 12" xfId="23"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常规_cs00-01成本控制套表单(优化稿)" xfId="20" xr:uid="{00000000-0005-0000-0000-000013000000}"/>
    <cellStyle name="常规_松江地块成本测算(031205)" xfId="16" xr:uid="{00000000-0005-0000-0000-000014000000}"/>
    <cellStyle name="超链接" xfId="22" builtinId="8"/>
    <cellStyle name="千位分隔" xfId="24" builtinId="3"/>
    <cellStyle name="千位分隔 11 2" xfId="19" xr:uid="{00000000-0005-0000-0000-000017000000}"/>
    <cellStyle name="千位分隔 2" xfId="17" xr:uid="{00000000-0005-0000-0000-000018000000}"/>
  </cellStyles>
  <dxfs count="25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9</xdr:col>
      <xdr:colOff>617902</xdr:colOff>
      <xdr:row>70</xdr:row>
      <xdr:rowOff>94536</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7562850"/>
          <a:ext cx="9790477" cy="5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20</xdr:col>
      <xdr:colOff>399092</xdr:colOff>
      <xdr:row>55</xdr:row>
      <xdr:rowOff>113699</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0" y="3571875"/>
          <a:ext cx="7666667" cy="4809524"/>
        </a:xfrm>
        <a:prstGeom prst="rect">
          <a:avLst/>
        </a:prstGeom>
      </xdr:spPr>
    </xdr:pic>
    <xdr:clientData/>
  </xdr:twoCellAnchor>
  <xdr:twoCellAnchor editAs="oneCell">
    <xdr:from>
      <xdr:col>0</xdr:col>
      <xdr:colOff>0</xdr:colOff>
      <xdr:row>60</xdr:row>
      <xdr:rowOff>28575</xdr:rowOff>
    </xdr:from>
    <xdr:to>
      <xdr:col>20</xdr:col>
      <xdr:colOff>418140</xdr:colOff>
      <xdr:row>87</xdr:row>
      <xdr:rowOff>104219</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0" y="6848475"/>
          <a:ext cx="7685715" cy="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227398</xdr:colOff>
      <xdr:row>48</xdr:row>
      <xdr:rowOff>142267</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2590800"/>
          <a:ext cx="9619048" cy="4866667"/>
        </a:xfrm>
        <a:prstGeom prst="rect">
          <a:avLst/>
        </a:prstGeom>
      </xdr:spPr>
    </xdr:pic>
    <xdr:clientData/>
  </xdr:twoCellAnchor>
  <xdr:twoCellAnchor editAs="oneCell">
    <xdr:from>
      <xdr:col>0</xdr:col>
      <xdr:colOff>0</xdr:colOff>
      <xdr:row>49</xdr:row>
      <xdr:rowOff>0</xdr:rowOff>
    </xdr:from>
    <xdr:to>
      <xdr:col>12</xdr:col>
      <xdr:colOff>132160</xdr:colOff>
      <xdr:row>80</xdr:row>
      <xdr:rowOff>94648</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7467600"/>
          <a:ext cx="9523810" cy="4819048"/>
        </a:xfrm>
        <a:prstGeom prst="rect">
          <a:avLst/>
        </a:prstGeom>
      </xdr:spPr>
    </xdr:pic>
    <xdr:clientData/>
  </xdr:twoCellAnchor>
  <xdr:twoCellAnchor editAs="oneCell">
    <xdr:from>
      <xdr:col>0</xdr:col>
      <xdr:colOff>0</xdr:colOff>
      <xdr:row>81</xdr:row>
      <xdr:rowOff>0</xdr:rowOff>
    </xdr:from>
    <xdr:to>
      <xdr:col>12</xdr:col>
      <xdr:colOff>322636</xdr:colOff>
      <xdr:row>102</xdr:row>
      <xdr:rowOff>142457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12344400"/>
          <a:ext cx="9714286" cy="3342857"/>
        </a:xfrm>
        <a:prstGeom prst="rect">
          <a:avLst/>
        </a:prstGeom>
      </xdr:spPr>
    </xdr:pic>
    <xdr:clientData/>
  </xdr:twoCellAnchor>
  <xdr:twoCellAnchor editAs="oneCell">
    <xdr:from>
      <xdr:col>0</xdr:col>
      <xdr:colOff>0</xdr:colOff>
      <xdr:row>103</xdr:row>
      <xdr:rowOff>0</xdr:rowOff>
    </xdr:from>
    <xdr:to>
      <xdr:col>12</xdr:col>
      <xdr:colOff>255970</xdr:colOff>
      <xdr:row>135</xdr:row>
      <xdr:rowOff>75581</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15697200"/>
          <a:ext cx="9647620" cy="4952381"/>
        </a:xfrm>
        <a:prstGeom prst="rect">
          <a:avLst/>
        </a:prstGeom>
      </xdr:spPr>
    </xdr:pic>
    <xdr:clientData/>
  </xdr:twoCellAnchor>
  <xdr:twoCellAnchor editAs="oneCell">
    <xdr:from>
      <xdr:col>0</xdr:col>
      <xdr:colOff>0</xdr:colOff>
      <xdr:row>136</xdr:row>
      <xdr:rowOff>0</xdr:rowOff>
    </xdr:from>
    <xdr:to>
      <xdr:col>12</xdr:col>
      <xdr:colOff>360732</xdr:colOff>
      <xdr:row>168</xdr:row>
      <xdr:rowOff>75581</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20726400"/>
          <a:ext cx="9752382" cy="4952381"/>
        </a:xfrm>
        <a:prstGeom prst="rect">
          <a:avLst/>
        </a:prstGeom>
      </xdr:spPr>
    </xdr:pic>
    <xdr:clientData/>
  </xdr:twoCellAnchor>
  <xdr:twoCellAnchor editAs="oneCell">
    <xdr:from>
      <xdr:col>0</xdr:col>
      <xdr:colOff>0</xdr:colOff>
      <xdr:row>169</xdr:row>
      <xdr:rowOff>0</xdr:rowOff>
    </xdr:from>
    <xdr:to>
      <xdr:col>12</xdr:col>
      <xdr:colOff>27398</xdr:colOff>
      <xdr:row>201</xdr:row>
      <xdr:rowOff>123200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25755600"/>
          <a:ext cx="9419048" cy="5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342343</xdr:colOff>
      <xdr:row>28</xdr:row>
      <xdr:rowOff>37496</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4457143" cy="4838096"/>
        </a:xfrm>
        <a:prstGeom prst="rect">
          <a:avLst/>
        </a:prstGeom>
      </xdr:spPr>
    </xdr:pic>
    <xdr:clientData/>
  </xdr:twoCellAnchor>
  <xdr:twoCellAnchor editAs="oneCell">
    <xdr:from>
      <xdr:col>0</xdr:col>
      <xdr:colOff>0</xdr:colOff>
      <xdr:row>28</xdr:row>
      <xdr:rowOff>0</xdr:rowOff>
    </xdr:from>
    <xdr:to>
      <xdr:col>6</xdr:col>
      <xdr:colOff>266153</xdr:colOff>
      <xdr:row>54</xdr:row>
      <xdr:rowOff>56586</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800600"/>
          <a:ext cx="4380953" cy="4514286"/>
        </a:xfrm>
        <a:prstGeom prst="rect">
          <a:avLst/>
        </a:prstGeom>
      </xdr:spPr>
    </xdr:pic>
    <xdr:clientData/>
  </xdr:twoCellAnchor>
  <xdr:twoCellAnchor editAs="oneCell">
    <xdr:from>
      <xdr:col>0</xdr:col>
      <xdr:colOff>0</xdr:colOff>
      <xdr:row>54</xdr:row>
      <xdr:rowOff>0</xdr:rowOff>
    </xdr:from>
    <xdr:to>
      <xdr:col>6</xdr:col>
      <xdr:colOff>294724</xdr:colOff>
      <xdr:row>81</xdr:row>
      <xdr:rowOff>123231</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9258300"/>
          <a:ext cx="4409524" cy="4752381"/>
        </a:xfrm>
        <a:prstGeom prst="rect">
          <a:avLst/>
        </a:prstGeom>
      </xdr:spPr>
    </xdr:pic>
    <xdr:clientData/>
  </xdr:twoCellAnchor>
  <xdr:twoCellAnchor editAs="oneCell">
    <xdr:from>
      <xdr:col>7</xdr:col>
      <xdr:colOff>0</xdr:colOff>
      <xdr:row>0</xdr:row>
      <xdr:rowOff>0</xdr:rowOff>
    </xdr:from>
    <xdr:to>
      <xdr:col>17</xdr:col>
      <xdr:colOff>551524</xdr:colOff>
      <xdr:row>28</xdr:row>
      <xdr:rowOff>47019</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4800600" y="0"/>
          <a:ext cx="7409524" cy="4847619"/>
        </a:xfrm>
        <a:prstGeom prst="rect">
          <a:avLst/>
        </a:prstGeom>
      </xdr:spPr>
    </xdr:pic>
    <xdr:clientData/>
  </xdr:twoCellAnchor>
  <xdr:twoCellAnchor editAs="oneCell">
    <xdr:from>
      <xdr:col>7</xdr:col>
      <xdr:colOff>0</xdr:colOff>
      <xdr:row>29</xdr:row>
      <xdr:rowOff>0</xdr:rowOff>
    </xdr:from>
    <xdr:to>
      <xdr:col>22</xdr:col>
      <xdr:colOff>113001</xdr:colOff>
      <xdr:row>53</xdr:row>
      <xdr:rowOff>9010</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800600" y="4972050"/>
          <a:ext cx="10400001" cy="4123810"/>
        </a:xfrm>
        <a:prstGeom prst="rect">
          <a:avLst/>
        </a:prstGeom>
      </xdr:spPr>
    </xdr:pic>
    <xdr:clientData/>
  </xdr:twoCellAnchor>
  <xdr:twoCellAnchor editAs="oneCell">
    <xdr:from>
      <xdr:col>7</xdr:col>
      <xdr:colOff>0</xdr:colOff>
      <xdr:row>53</xdr:row>
      <xdr:rowOff>0</xdr:rowOff>
    </xdr:from>
    <xdr:to>
      <xdr:col>22</xdr:col>
      <xdr:colOff>27286</xdr:colOff>
      <xdr:row>76</xdr:row>
      <xdr:rowOff>56650</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4800600" y="9086850"/>
          <a:ext cx="10314286" cy="4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56543</xdr:colOff>
      <xdr:row>28</xdr:row>
      <xdr:rowOff>66067</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1"/>
        <a:stretch>
          <a:fillRect/>
        </a:stretch>
      </xdr:blipFill>
      <xdr:spPr>
        <a:xfrm>
          <a:off x="0" y="0"/>
          <a:ext cx="4857143" cy="4866667"/>
        </a:xfrm>
        <a:prstGeom prst="rect">
          <a:avLst/>
        </a:prstGeom>
      </xdr:spPr>
    </xdr:pic>
    <xdr:clientData/>
  </xdr:twoCellAnchor>
  <xdr:twoCellAnchor editAs="oneCell">
    <xdr:from>
      <xdr:col>0</xdr:col>
      <xdr:colOff>0</xdr:colOff>
      <xdr:row>28</xdr:row>
      <xdr:rowOff>0</xdr:rowOff>
    </xdr:from>
    <xdr:to>
      <xdr:col>7</xdr:col>
      <xdr:colOff>27972</xdr:colOff>
      <xdr:row>56</xdr:row>
      <xdr:rowOff>27972</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0" y="4800600"/>
          <a:ext cx="4828572" cy="4828572"/>
        </a:xfrm>
        <a:prstGeom prst="rect">
          <a:avLst/>
        </a:prstGeom>
      </xdr:spPr>
    </xdr:pic>
    <xdr:clientData/>
  </xdr:twoCellAnchor>
  <xdr:twoCellAnchor editAs="oneCell">
    <xdr:from>
      <xdr:col>0</xdr:col>
      <xdr:colOff>0</xdr:colOff>
      <xdr:row>56</xdr:row>
      <xdr:rowOff>0</xdr:rowOff>
    </xdr:from>
    <xdr:to>
      <xdr:col>7</xdr:col>
      <xdr:colOff>161305</xdr:colOff>
      <xdr:row>88</xdr:row>
      <xdr:rowOff>113600</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3"/>
        <a:stretch>
          <a:fillRect/>
        </a:stretch>
      </xdr:blipFill>
      <xdr:spPr>
        <a:xfrm>
          <a:off x="0" y="9601200"/>
          <a:ext cx="4961905" cy="5600000"/>
        </a:xfrm>
        <a:prstGeom prst="rect">
          <a:avLst/>
        </a:prstGeom>
      </xdr:spPr>
    </xdr:pic>
    <xdr:clientData/>
  </xdr:twoCellAnchor>
  <xdr:twoCellAnchor editAs="oneCell">
    <xdr:from>
      <xdr:col>0</xdr:col>
      <xdr:colOff>0</xdr:colOff>
      <xdr:row>89</xdr:row>
      <xdr:rowOff>0</xdr:rowOff>
    </xdr:from>
    <xdr:to>
      <xdr:col>7</xdr:col>
      <xdr:colOff>161305</xdr:colOff>
      <xdr:row>121</xdr:row>
      <xdr:rowOff>132648</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4"/>
        <a:stretch>
          <a:fillRect/>
        </a:stretch>
      </xdr:blipFill>
      <xdr:spPr>
        <a:xfrm>
          <a:off x="0" y="15259050"/>
          <a:ext cx="4961905" cy="5619048"/>
        </a:xfrm>
        <a:prstGeom prst="rect">
          <a:avLst/>
        </a:prstGeom>
      </xdr:spPr>
    </xdr:pic>
    <xdr:clientData/>
  </xdr:twoCellAnchor>
  <xdr:twoCellAnchor editAs="oneCell">
    <xdr:from>
      <xdr:col>8</xdr:col>
      <xdr:colOff>0</xdr:colOff>
      <xdr:row>0</xdr:row>
      <xdr:rowOff>0</xdr:rowOff>
    </xdr:from>
    <xdr:to>
      <xdr:col>15</xdr:col>
      <xdr:colOff>123210</xdr:colOff>
      <xdr:row>28</xdr:row>
      <xdr:rowOff>170829</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5"/>
        <a:stretch>
          <a:fillRect/>
        </a:stretch>
      </xdr:blipFill>
      <xdr:spPr>
        <a:xfrm>
          <a:off x="5486400" y="0"/>
          <a:ext cx="4923810" cy="4971429"/>
        </a:xfrm>
        <a:prstGeom prst="rect">
          <a:avLst/>
        </a:prstGeom>
      </xdr:spPr>
    </xdr:pic>
    <xdr:clientData/>
  </xdr:twoCellAnchor>
  <xdr:twoCellAnchor editAs="oneCell">
    <xdr:from>
      <xdr:col>8</xdr:col>
      <xdr:colOff>0</xdr:colOff>
      <xdr:row>29</xdr:row>
      <xdr:rowOff>0</xdr:rowOff>
    </xdr:from>
    <xdr:to>
      <xdr:col>15</xdr:col>
      <xdr:colOff>37496</xdr:colOff>
      <xdr:row>58</xdr:row>
      <xdr:rowOff>8903</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6"/>
        <a:stretch>
          <a:fillRect/>
        </a:stretch>
      </xdr:blipFill>
      <xdr:spPr>
        <a:xfrm>
          <a:off x="5486400" y="4972050"/>
          <a:ext cx="4838096" cy="4980953"/>
        </a:xfrm>
        <a:prstGeom prst="rect">
          <a:avLst/>
        </a:prstGeom>
      </xdr:spPr>
    </xdr:pic>
    <xdr:clientData/>
  </xdr:twoCellAnchor>
  <xdr:twoCellAnchor editAs="oneCell">
    <xdr:from>
      <xdr:col>8</xdr:col>
      <xdr:colOff>0</xdr:colOff>
      <xdr:row>58</xdr:row>
      <xdr:rowOff>0</xdr:rowOff>
    </xdr:from>
    <xdr:to>
      <xdr:col>15</xdr:col>
      <xdr:colOff>104162</xdr:colOff>
      <xdr:row>81</xdr:row>
      <xdr:rowOff>151888</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7"/>
        <a:stretch>
          <a:fillRect/>
        </a:stretch>
      </xdr:blipFill>
      <xdr:spPr>
        <a:xfrm>
          <a:off x="5486400" y="9944100"/>
          <a:ext cx="4904762" cy="4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31</xdr:row>
      <xdr:rowOff>85050</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1457144" cy="5400000"/>
        </a:xfrm>
        <a:prstGeom prst="rect">
          <a:avLst/>
        </a:prstGeom>
      </xdr:spPr>
    </xdr:pic>
    <xdr:clientData/>
  </xdr:twoCellAnchor>
  <xdr:twoCellAnchor editAs="oneCell">
    <xdr:from>
      <xdr:col>0</xdr:col>
      <xdr:colOff>57150</xdr:colOff>
      <xdr:row>37</xdr:row>
      <xdr:rowOff>142875</xdr:rowOff>
    </xdr:from>
    <xdr:to>
      <xdr:col>16</xdr:col>
      <xdr:colOff>331970</xdr:colOff>
      <xdr:row>68</xdr:row>
      <xdr:rowOff>123163</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57150" y="6486525"/>
          <a:ext cx="11247620"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4E756D6\&#26080;&#38177;&#39749;&#21147;&#20043;&#22478;B3&#26223;&#35266;&#24037;&#31243;&#37327;&#28165;&#213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4180;&#25991;&#20214;/&#20013;&#21271;&#36335;/1&#12289;&#20013;&#21271;&#36335;&#23450;&#20301;&#27979;&#31639;(20180423&#26041;&#26696;)201904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eqpmad2"/>
      <sheetName val="面积指标"/>
      <sheetName val="Parameters"/>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单方成本测算(帐面)"/>
      <sheetName val="成本结转表(IFRS)"/>
      <sheetName val="时间设置"/>
      <sheetName val="成本测算"/>
      <sheetName val="Sheet1"/>
      <sheetName val="规划指标"/>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CFS"/>
      <sheetName val="参数表"/>
      <sheetName val="敏感参数"/>
      <sheetName val="CJA 2006"/>
      <sheetName val="Mp-team 1"/>
      <sheetName val="土地款支出"/>
      <sheetName val="内部往来"/>
      <sheetName val="公摊费用及期间费"/>
      <sheetName val="分摊基础"/>
      <sheetName val="基础项目"/>
      <sheetName val="测算2-当前状态（含返迁）"/>
      <sheetName val="工程量计算"/>
      <sheetName val="PL 2007"/>
      <sheetName val="PL 2005"/>
      <sheetName val="PL 2006"/>
      <sheetName val="040506利息分摊"/>
      <sheetName val="2006内部公司往来利息及调整（per entity）"/>
      <sheetName val="07利息分摊"/>
      <sheetName val="指标表"/>
      <sheetName val="车库"/>
      <sheetName val="规划指标表"/>
      <sheetName val="江宁新指标"/>
      <sheetName val="叠拼"/>
      <sheetName val="复式"/>
      <sheetName val="平层"/>
      <sheetName val="独立商业"/>
      <sheetName val="地下超市"/>
      <sheetName val="2006年10月"/>
      <sheetName val="其它工作项目报价清单"/>
      <sheetName val="梁"/>
      <sheetName val="给排水工程量计算书"/>
      <sheetName val="承台(砖模) "/>
      <sheetName val="柱"/>
      <sheetName val="下拉菜单"/>
      <sheetName val="财务费用"/>
      <sheetName val="收入与成本"/>
      <sheetName val="销售比率"/>
      <sheetName val="2、明细表"/>
      <sheetName val="型材线密度表"/>
      <sheetName val="XLR_NoRangeSheet"/>
      <sheetName val="土建工程综合单价组价明细表"/>
      <sheetName val="写字楼B"/>
      <sheetName val="枣园--建安-间接"/>
      <sheetName val="全期规划指标 "/>
      <sheetName val="BS"/>
      <sheetName val="材料费"/>
      <sheetName val="门窗表"/>
      <sheetName val="电（计算式）"/>
      <sheetName val="四季花城城南地块户型面积"/>
      <sheetName val="土建直接费"/>
      <sheetName val="Cashflow(Scenario)"/>
      <sheetName val="301-6"/>
      <sheetName val="工程材料"/>
      <sheetName val="参数1"/>
      <sheetName val="Financial highligts"/>
      <sheetName val="测算明细表(0+1+1)"/>
      <sheetName val="主要规划指标"/>
      <sheetName val="附 录 一"/>
      <sheetName val="Collateral"/>
      <sheetName val="Disposition"/>
      <sheetName val="Sheetl"/>
      <sheetName val="折线图2数据"/>
      <sheetName val="报批报建计划"/>
      <sheetName val="Global"/>
      <sheetName val="HVAC BoQ"/>
      <sheetName val="RA-markate"/>
      <sheetName val="弱电"/>
      <sheetName val="附表-规划指标表一期"/>
      <sheetName val="附表-规划指标表三期"/>
      <sheetName val="营销费用合同－付款（城花）0109"/>
      <sheetName val="summary"/>
      <sheetName val="板房区目标成本"/>
      <sheetName val="list"/>
      <sheetName val="NAME"/>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sheet2"/>
      <sheetName val="POWER ASSUMPTIONS"/>
      <sheetName val="Main"/>
      <sheetName val="单位库"/>
      <sheetName val="材料"/>
      <sheetName val="成本汇总"/>
      <sheetName val="系数516"/>
      <sheetName val="报价单"/>
      <sheetName val="园建工程（后期）"/>
      <sheetName val="XL4Poppy"/>
      <sheetName val="每日C300"/>
      <sheetName val="指标"/>
      <sheetName val="139叠加"/>
      <sheetName val="室内装修价格明细"/>
      <sheetName val="全区规划指标"/>
      <sheetName val="全区成本汇总"/>
      <sheetName val="东一一层方柱砼"/>
      <sheetName val="项目指标"/>
      <sheetName val="动态成本"/>
      <sheetName val="付款台账"/>
      <sheetName val="附表1"/>
      <sheetName val="合同台账"/>
      <sheetName val="2.1设计部"/>
      <sheetName val="计算稿"/>
      <sheetName val="设计部"/>
      <sheetName val="Macro1"/>
      <sheetName val="成本测算-太科园"/>
      <sheetName val="Toolbox"/>
      <sheetName val="常用项目"/>
      <sheetName val="5、销售费用预算表"/>
      <sheetName val="选项"/>
      <sheetName val="3-工程现金流"/>
      <sheetName val="土方"/>
      <sheetName val="ls"/>
      <sheetName val="4301_2004ch"/>
      <sheetName val="5201_2004"/>
      <sheetName val="预算执行情况_(2)"/>
      <sheetName val="清单1"/>
      <sheetName val="财务费用多栏明细账"/>
      <sheetName val="管理费用多栏明细账"/>
      <sheetName val="营业费用多栏明细账"/>
      <sheetName val="变更"/>
      <sheetName val="日报_无证（扣除变更数）"/>
      <sheetName val="日报_有证（扣除变更数）"/>
      <sheetName val="挞定退房"/>
      <sheetName val="基本参数"/>
      <sheetName val="成本估算"/>
      <sheetName val="ECCS_1 DataSheet"/>
      <sheetName val="KPI Datasheet"/>
      <sheetName val="A3"/>
      <sheetName val="A300"/>
      <sheetName val="資料庫"/>
      <sheetName val="封面"/>
      <sheetName val="甲供材表一水电材料(开关)"/>
      <sheetName val="甲供材表二水电材料（灯具）"/>
      <sheetName val="甲供材表三水电材料（浴霸）"/>
      <sheetName val="甲供材表四水电材料（五金洁具）"/>
      <sheetName val="General"/>
      <sheetName val="Estimate Details"/>
      <sheetName val="计量"/>
      <sheetName val="付款进度表"/>
      <sheetName val="科目列表"/>
      <sheetName val="无合同工程及销费"/>
      <sheetName val="二级成本动态表"/>
      <sheetName val="成本表1 项目规划指标及收入计划"/>
      <sheetName val="基本数据计算底稿"/>
      <sheetName val="8"/>
      <sheetName val="2"/>
      <sheetName val="6"/>
      <sheetName val="面积合计（藏）"/>
      <sheetName val="7"/>
      <sheetName val="3"/>
      <sheetName val="4"/>
      <sheetName val="投标材料清单 "/>
      <sheetName val="5"/>
      <sheetName val="1"/>
      <sheetName val="Financ. Overview"/>
      <sheetName val="人工费"/>
      <sheetName val="G.1R-Shou COP Gf"/>
      <sheetName val="D户型防水"/>
      <sheetName val="基础数据"/>
      <sheetName val="TAX COM"/>
      <sheetName val="SW-TEO"/>
      <sheetName val="LAVT"/>
      <sheetName val="面积"/>
      <sheetName val="清单"/>
      <sheetName val="营销费用预算"/>
      <sheetName val="营销合约"/>
      <sheetName val="temp"/>
      <sheetName val="source"/>
      <sheetName val="F101"/>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绿化"/>
      <sheetName val="景观"/>
      <sheetName val="Sheet2"/>
      <sheetName val="Sheet3"/>
      <sheetName val="系数516"/>
      <sheetName val="面积指标"/>
      <sheetName val="RGDP"/>
      <sheetName val="基础表"/>
      <sheetName val="SW-TEO"/>
      <sheetName val="eqpmad2"/>
      <sheetName val="面积指标表"/>
      <sheetName val="全案现金流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全项目指标表"/>
      <sheetName val="2.指标表"/>
      <sheetName val="3.建造（交房）标准"/>
      <sheetName val="4.成本汇总表"/>
      <sheetName val="5.非建安测算表"/>
      <sheetName val="6.1建安测算 (销售-超高层写字楼)"/>
      <sheetName val="6.2建安测算 (销售-超高层公寓--行政公馆)"/>
      <sheetName val="6.3建安测算 (销售-SOHO超高层公寓--酒店式)"/>
      <sheetName val="6.4建安测算 (销售-SOHO超高层公寓--北塔)"/>
      <sheetName val="6.5建安测算 (销售-超高平层公寓)"/>
      <sheetName val="6.6建安测算 (销售-LOFT超高层公寓)"/>
      <sheetName val="6.7建安测算 (销售-集中商业)"/>
      <sheetName val="6.8建安测算 (避难层及设备用房地上部分)"/>
      <sheetName val="6.1建安测算 （销售-集中商业（地下））"/>
      <sheetName val="6.2建安测算 (销售-非人防车库)"/>
      <sheetName val="6.3建安测算 (自持-非人防车库)"/>
      <sheetName val="6.3建安测算 (人防车库)"/>
      <sheetName val="7.建安测算（土方、基础）"/>
      <sheetName val="对比表"/>
      <sheetName val="结构指标对比"/>
      <sheetName val="设计费估算"/>
      <sheetName val="设计限额"/>
    </sheetNames>
    <sheetDataSet>
      <sheetData sheetId="0" refreshError="1"/>
      <sheetData sheetId="1" refreshError="1">
        <row r="13">
          <cell r="O13">
            <v>83777.130920947355</v>
          </cell>
        </row>
        <row r="14">
          <cell r="O14">
            <v>41212.905743836513</v>
          </cell>
        </row>
        <row r="15">
          <cell r="O15">
            <v>17143.213335216136</v>
          </cell>
        </row>
        <row r="22">
          <cell r="O22">
            <v>5513.06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hyperlink" Target="http://map.sogou.com/t/llLDxW" TargetMode="External"/><Relationship Id="rId2" Type="http://schemas.openxmlformats.org/officeDocument/2006/relationships/hyperlink" Target="http://map.sogou.com/t/sSLd6S" TargetMode="External"/><Relationship Id="rId1" Type="http://schemas.openxmlformats.org/officeDocument/2006/relationships/hyperlink" Target="http://map.sogou.com/t/arWy17" TargetMode="External"/><Relationship Id="rId4"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zrzyhgh.wuhan.gov.cn/zwgk_18/zcfgyjd/zhl/202001/t20200107_594927.shtml" TargetMode="External"/><Relationship Id="rId1" Type="http://schemas.openxmlformats.org/officeDocument/2006/relationships/hyperlink" Target="http://zrzyhgh.wuhan.gov.cn/zwgk_18/zcfgyjd/zcjd/202001/t20200107_616482.shtml" TargetMode="Externa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zoomScale="80" zoomScaleNormal="80" workbookViewId="0">
      <selection activeCell="B1" sqref="B1:B10485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湖北省武汉市武昌区中北路（不动产单元号：420106011011GB00066W00000000）一宗商业服务用地出让国有建设用地使用权抵押价格预评估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吴薇、郑燚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受贵公司委托，我公司对湖北省武汉市武昌区中北路（不动产单元号：420106011011GB00066W00000000）一宗商业服务用地出让国有建设用地使用权抵押价格进行了预评估。</v>
      </c>
      <c r="AM6" s="2616"/>
    </row>
    <row r="7" spans="1:55" s="2590" customFormat="1">
      <c r="A7" s="2591" t="s">
        <v>2634</v>
      </c>
      <c r="B7" s="2592" t="str">
        <f>'预评函-1'!A6</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2021年6月30日</v>
      </c>
    </row>
    <row r="11" spans="1:55" s="2590" customFormat="1">
      <c r="A11" s="2591" t="s">
        <v>2642</v>
      </c>
      <c r="B11" s="2592" t="str">
        <f>'预评函-1'!A14</f>
        <v>根据《不动产证书》[鄂（2017）武汉市市不动产权第0001140号]，本次评估估价对象证载（地类）用途为商业服务用地。</v>
      </c>
    </row>
    <row r="12" spans="1:55" s="2590" customFormat="1">
      <c r="A12" s="2591" t="s">
        <v>2643</v>
      </c>
      <c r="B12" s="2592" t="str">
        <f>'预评函-1'!A15</f>
        <v>本次评估设定用途即为证载用途商业、办公、地下车库。</v>
      </c>
    </row>
    <row r="13" spans="1:55" s="2590" customFormat="1">
      <c r="A13" s="2591" t="s">
        <v>2644</v>
      </c>
      <c r="B13" s="2592" t="str">
        <f>'预评函-1'!A17</f>
        <v>根据委托估价方介绍及评估专业人员现场勘查，本次评估估价对象实际土地开发程度为红线外市政基础设施达“七通”（即通路、通电、通讯、通上水、通下水、燃气、）、宗地红线内场地平整。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16" spans="1:55" s="2590" customFormat="1">
      <c r="A16" s="2591" t="s">
        <v>2646</v>
      </c>
      <c r="B16" s="2592" t="str">
        <f>'预评函-1'!A22</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17" spans="1:48" s="2590" customFormat="1">
      <c r="A17" s="2591" t="s">
        <v>2647</v>
      </c>
      <c r="B17" s="2592" t="str">
        <f>'预评函-1'!A23</f>
        <v>本次评估设定估价对象剩余土地使用年限为商业36.45年、办公36.45年、地下车库36.45年。</v>
      </c>
    </row>
    <row r="18" spans="1:48" s="2590" customFormat="1">
      <c r="A18" s="2591" t="s">
        <v>2648</v>
      </c>
      <c r="B18" s="2592" t="str">
        <f>'预评函-1'!A25</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估价期日：2021年6月30日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t="str">
        <f>'预评函-2'!E5</f>
        <v>商业服务用地</v>
      </c>
      <c r="AV32" s="2596"/>
    </row>
    <row r="33" spans="1:2">
      <c r="A33" s="2591" t="s">
        <v>2690</v>
      </c>
      <c r="B33" s="2592">
        <f>'预评函-2'!F5</f>
        <v>258</v>
      </c>
    </row>
    <row r="34" spans="1:2">
      <c r="A34" s="2591" t="s">
        <v>2691</v>
      </c>
      <c r="B34" s="2592" t="str">
        <f>'预评函-2'!G5</f>
        <v>商业、办公、地下车库</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红线外七通、宗地红线内场地平整</v>
      </c>
    </row>
    <row r="39" spans="1:2">
      <c r="A39" s="2591" t="s">
        <v>2696</v>
      </c>
      <c r="B39" s="2592" t="str">
        <f>'预评函-2'!L5</f>
        <v>红线外七通、宗地红线内场地平整</v>
      </c>
    </row>
    <row r="40" spans="1:2">
      <c r="A40" s="2591" t="s">
        <v>2715</v>
      </c>
      <c r="B40" s="2592" t="str">
        <f>'预评函-2'!M3</f>
        <v>（剩余）土地使用年限/年</v>
      </c>
    </row>
    <row r="41" spans="1:2">
      <c r="A41" s="2591" t="s">
        <v>2697</v>
      </c>
      <c r="B41" s="2592" t="str">
        <f>'预评函-2'!M5</f>
        <v>商业36.45年、办公36.45年、地下车库36.45年</v>
      </c>
    </row>
    <row r="42" spans="1:2">
      <c r="A42" s="2591" t="s">
        <v>2716</v>
      </c>
      <c r="B42" s="2592" t="str">
        <f>'预评函-2'!N3</f>
        <v>（分摊）出让国有建设用地使用权面积/㎡</v>
      </c>
    </row>
    <row r="43" spans="1:2">
      <c r="A43" s="2591" t="s">
        <v>2698</v>
      </c>
      <c r="B43" s="2592">
        <f>'预评函-2'!N5</f>
        <v>19463.21</v>
      </c>
    </row>
    <row r="44" spans="1:2">
      <c r="A44" s="2591" t="s">
        <v>2717</v>
      </c>
      <c r="B44" s="2592" t="str">
        <f>'预评函-2'!O3</f>
        <v>规划建筑面积/㎡</v>
      </c>
    </row>
    <row r="45" spans="1:2">
      <c r="A45" s="2591" t="s">
        <v>2699</v>
      </c>
      <c r="B45" s="2592">
        <f>'预评函-2'!O5</f>
        <v>197089.87</v>
      </c>
    </row>
    <row r="46" spans="1:2">
      <c r="A46" s="2591" t="s">
        <v>2700</v>
      </c>
      <c r="B46" s="2592">
        <f ca="1">'预评函-2'!P5</f>
        <v>64554</v>
      </c>
    </row>
    <row r="47" spans="1:2">
      <c r="A47" s="2591" t="s">
        <v>2701</v>
      </c>
      <c r="B47" s="2592">
        <f ca="1">'预评函-2'!Q5</f>
        <v>6375</v>
      </c>
    </row>
    <row r="48" spans="1:2">
      <c r="A48" s="2591" t="s">
        <v>2702</v>
      </c>
      <c r="B48" s="2592">
        <f ca="1">'预评函-2'!R5</f>
        <v>125643</v>
      </c>
    </row>
    <row r="49" spans="1:2">
      <c r="A49" s="2591" t="s">
        <v>2718</v>
      </c>
      <c r="B49" s="2592" t="str">
        <f>'预评函-2'!A6</f>
        <v>抵押价格</v>
      </c>
    </row>
    <row r="50" spans="1:2">
      <c r="A50" s="2591" t="s">
        <v>2703</v>
      </c>
      <c r="B50" s="2592">
        <f ca="1">'预评函-2'!R6</f>
        <v>125643</v>
      </c>
    </row>
    <row r="51" spans="1:2">
      <c r="A51" s="2591" t="s">
        <v>2719</v>
      </c>
      <c r="B51" s="2592" t="str">
        <f>'预评函-2'!A7</f>
        <v>——</v>
      </c>
    </row>
    <row r="52" spans="1:2">
      <c r="A52" s="2591" t="s">
        <v>2704</v>
      </c>
      <c r="B52" s="2592" t="str">
        <f>'预评函-2'!R7</f>
        <v>——</v>
      </c>
    </row>
    <row r="53" spans="1:2">
      <c r="A53" s="2591" t="s">
        <v>2720</v>
      </c>
      <c r="B53" s="2592" t="str">
        <f>'预评函-2'!A8</f>
        <v>抵押净值</v>
      </c>
    </row>
    <row r="54" spans="1:2" s="2606" customFormat="1" ht="15" thickBot="1">
      <c r="A54" s="2613" t="s">
        <v>2705</v>
      </c>
      <c r="B54" s="2614">
        <f ca="1">'预评函-2'!R8</f>
        <v>115856</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2.基础设施条件：估价对象实际开发程度为红线外七通、宗地红线内场地平整；本次评估设定开发程度为红线外七通、宗地红线内场地平整。</v>
      </c>
    </row>
    <row r="57" spans="1:2">
      <c r="A57" s="2591" t="s">
        <v>2657</v>
      </c>
      <c r="B57" s="2592" t="str">
        <f>'预评函-3'!A4</f>
        <v>3.估价规划限制条件：详见《国有建设用地使用权出让合同》[电子监管号：4201002017B23616]及附件、《建设工程规划许可证》[武规建（2019）082号]。</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吴薇</v>
      </c>
    </row>
    <row r="70" spans="1:2">
      <c r="A70" s="2591" t="s">
        <v>2667</v>
      </c>
      <c r="B70" s="2598">
        <f ca="1">'预评函-3'!B20</f>
        <v>2002110125</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G26" sqref="G26"/>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09"/>
  </cols>
  <sheetData>
    <row r="1" spans="1:21" ht="15" thickBot="1">
      <c r="A1" s="1582" t="s">
        <v>1925</v>
      </c>
      <c r="B1" s="3519" t="str">
        <f>IF(B10="北京市","北京市",C10)&amp;F10&amp;B16&amp;"国有建设用地使用权"&amp;B9&amp;"预评估"</f>
        <v>湖北省武汉市武昌区中北路（不动产单元号：420106011011GB00066W00000000）一宗商业服务用地出让国有建设用地使用权抵押价格预评估</v>
      </c>
      <c r="C1" s="3520"/>
      <c r="D1" s="3520"/>
      <c r="E1" s="3520"/>
      <c r="F1" s="3520"/>
      <c r="G1" s="3520"/>
      <c r="H1" s="3520"/>
      <c r="I1" s="3521"/>
      <c r="J1" s="3070"/>
      <c r="K1" s="2306" t="str">
        <f>IF(B10="北京市","北京市",C10)&amp;F10&amp;B16&amp;"国有建设用地使用权"&amp;B9</f>
        <v>湖北省武汉市武昌区中北路（不动产单元号：420106011011GB00066W00000000）一宗商业服务用地出让国有建设用地使用权抵押价格</v>
      </c>
      <c r="L1" s="3049"/>
      <c r="M1" s="3049"/>
      <c r="N1" s="3050"/>
      <c r="O1" s="3051"/>
      <c r="P1" s="3050"/>
      <c r="Q1" s="3050"/>
      <c r="R1" s="3050"/>
      <c r="S1" s="3050"/>
      <c r="T1" s="3050"/>
      <c r="U1" s="3050"/>
    </row>
    <row r="2" spans="1:21">
      <c r="A2" s="1583" t="s">
        <v>1926</v>
      </c>
      <c r="B2" s="1751"/>
      <c r="D2" s="3070"/>
      <c r="E2" s="3070"/>
      <c r="F2" s="3070"/>
      <c r="G2" s="3070"/>
      <c r="H2" s="3071"/>
      <c r="I2" s="3072"/>
      <c r="J2" s="3070"/>
      <c r="K2" s="2306" t="str">
        <f>IF(B10="北京市","北京市",C10)&amp;F10&amp;B16&amp;"国有建设用地使用权"</f>
        <v>湖北省武汉市武昌区中北路（不动产单元号：420106011011GB00066W00000000）一宗商业服务用地出让国有建设用地使用权</v>
      </c>
      <c r="L2" s="3049"/>
      <c r="M2" s="3049"/>
      <c r="N2" s="3050"/>
      <c r="O2" s="3051"/>
      <c r="P2" s="3050"/>
      <c r="Q2" s="3050"/>
      <c r="R2" s="3050"/>
      <c r="S2" s="3050"/>
      <c r="T2" s="3050"/>
      <c r="U2" s="3050"/>
    </row>
    <row r="3" spans="1:21">
      <c r="A3" s="1584" t="s">
        <v>1927</v>
      </c>
      <c r="B3" s="1585">
        <v>44294</v>
      </c>
      <c r="C3" s="2993" t="s">
        <v>1983</v>
      </c>
      <c r="D3" s="1585">
        <v>44377</v>
      </c>
      <c r="E3" s="3070"/>
      <c r="F3" s="3070"/>
      <c r="G3" s="3070"/>
      <c r="H3" s="3071"/>
      <c r="I3" s="3072"/>
      <c r="J3" s="3070"/>
      <c r="K3" s="3053"/>
      <c r="L3" s="3049"/>
      <c r="M3" s="3049"/>
      <c r="N3" s="3050"/>
      <c r="O3" s="3051"/>
      <c r="P3" s="3050"/>
      <c r="Q3" s="3050"/>
      <c r="R3" s="3050"/>
      <c r="S3" s="3050"/>
      <c r="T3" s="3050"/>
      <c r="U3" s="3050"/>
    </row>
    <row r="4" spans="1:21" ht="15" thickBot="1">
      <c r="A4" s="1587" t="s">
        <v>1928</v>
      </c>
      <c r="B4" s="1752" t="s">
        <v>3530</v>
      </c>
      <c r="C4" s="1755">
        <f ca="1">SUMIF(土地估价师,B4,估价师及机构信息!E3:E16)</f>
        <v>2002110125</v>
      </c>
      <c r="D4" s="1752" t="s">
        <v>2997</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70"/>
      <c r="K4" s="2306" t="str">
        <f>IF(AND(F4="——",H4="——"),B4&amp;"、"&amp;D4,IF(AND(F4&lt;&gt;"——",H4="——"),B4&amp;"、"&amp;D4&amp;"、"&amp;F4,B4&amp;"、"&amp;D4&amp;"、"&amp;F4&amp;"、"&amp;H4))</f>
        <v>吴薇、郑燚</v>
      </c>
      <c r="L4" s="3049"/>
      <c r="M4" s="3049"/>
      <c r="N4" s="3050"/>
      <c r="O4" s="3051"/>
      <c r="P4" s="3050"/>
      <c r="Q4" s="3050"/>
      <c r="R4" s="3050"/>
      <c r="S4" s="3050"/>
      <c r="T4" s="3050"/>
      <c r="U4" s="3050"/>
    </row>
    <row r="5" spans="1:21" ht="15" thickTop="1">
      <c r="A5" s="1588" t="s">
        <v>1929</v>
      </c>
      <c r="B5" s="1699"/>
      <c r="C5" s="1589"/>
      <c r="D5" s="1590"/>
      <c r="E5" s="3070"/>
      <c r="F5" s="3070"/>
      <c r="G5" s="3070"/>
      <c r="H5" s="3071"/>
      <c r="I5" s="3072"/>
      <c r="J5" s="3070"/>
      <c r="K5" s="3053"/>
      <c r="L5" s="3049"/>
      <c r="M5" s="3049"/>
      <c r="N5" s="3050"/>
      <c r="O5" s="3051"/>
      <c r="P5" s="3050"/>
      <c r="Q5" s="3050"/>
      <c r="R5" s="3050"/>
      <c r="S5" s="3050"/>
      <c r="T5" s="3050"/>
      <c r="U5" s="3050"/>
    </row>
    <row r="6" spans="1:21" ht="26.25">
      <c r="A6" s="1586" t="s">
        <v>2683</v>
      </c>
      <c r="B6" s="1699"/>
      <c r="C6" s="1674"/>
      <c r="D6" s="1591"/>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2" t="s">
        <v>2684</v>
      </c>
      <c r="B7" s="1699"/>
      <c r="C7" s="1674"/>
      <c r="D7" s="1591"/>
      <c r="E7" s="3070"/>
      <c r="F7" s="3070"/>
      <c r="G7" s="3070"/>
      <c r="H7" s="3071"/>
      <c r="I7" s="3072"/>
      <c r="J7" s="3070"/>
      <c r="K7" s="3053"/>
      <c r="L7" s="3049"/>
      <c r="M7" s="3049"/>
      <c r="N7" s="3050"/>
      <c r="O7" s="3051"/>
      <c r="P7" s="3050"/>
      <c r="Q7" s="3050"/>
      <c r="R7" s="3050"/>
      <c r="S7" s="3050"/>
      <c r="T7" s="3050"/>
      <c r="U7" s="3050"/>
    </row>
    <row r="8" spans="1:21">
      <c r="A8" s="2994" t="s">
        <v>1930</v>
      </c>
      <c r="B8" s="1593" t="s">
        <v>2949</v>
      </c>
      <c r="C8" s="1594"/>
      <c r="D8" s="3525" t="s">
        <v>1932</v>
      </c>
      <c r="E8" s="1753" t="s">
        <v>2998</v>
      </c>
      <c r="F8" s="1595"/>
      <c r="G8" s="3071"/>
      <c r="H8" s="3071"/>
      <c r="I8" s="3074"/>
      <c r="J8" s="3070"/>
      <c r="K8" s="3053"/>
      <c r="L8" s="3049"/>
      <c r="M8" s="3049"/>
      <c r="N8" s="3050"/>
      <c r="O8" s="3051"/>
      <c r="P8" s="3050"/>
      <c r="Q8" s="3050"/>
      <c r="R8" s="3050"/>
      <c r="S8" s="3050"/>
      <c r="T8" s="3050"/>
      <c r="U8" s="3050"/>
    </row>
    <row r="9" spans="1:21" ht="15" thickBot="1">
      <c r="A9" s="2995" t="s">
        <v>1931</v>
      </c>
      <c r="B9" s="1596" t="s">
        <v>2998</v>
      </c>
      <c r="C9" s="1597"/>
      <c r="D9" s="3526"/>
      <c r="E9" s="1596" t="s">
        <v>2830</v>
      </c>
      <c r="F9" s="1660"/>
      <c r="G9" s="3075"/>
      <c r="H9" s="3075"/>
      <c r="I9" s="3076"/>
      <c r="J9" s="3070"/>
      <c r="K9" s="3053"/>
      <c r="L9" s="3049"/>
      <c r="M9" s="3049"/>
      <c r="N9" s="3050"/>
      <c r="O9" s="3051"/>
      <c r="P9" s="3050"/>
      <c r="Q9" s="3050"/>
      <c r="R9" s="3050"/>
      <c r="S9" s="3050"/>
      <c r="T9" s="3050"/>
      <c r="U9" s="3050"/>
    </row>
    <row r="10" spans="1:21" ht="15" thickTop="1">
      <c r="A10" s="2996" t="s">
        <v>1986</v>
      </c>
      <c r="B10" s="1636" t="s">
        <v>3531</v>
      </c>
      <c r="C10" s="1598" t="s">
        <v>3045</v>
      </c>
      <c r="D10" s="1590"/>
      <c r="E10" s="1599" t="s">
        <v>1934</v>
      </c>
      <c r="F10" s="1600" t="s">
        <v>3494</v>
      </c>
      <c r="G10" s="1658"/>
      <c r="H10" s="1659"/>
      <c r="I10" s="1590"/>
      <c r="J10" s="3070"/>
      <c r="K10" s="3053"/>
      <c r="L10" s="3049"/>
      <c r="M10" s="3049"/>
      <c r="N10" s="3050"/>
      <c r="O10" s="3051"/>
      <c r="P10" s="3050"/>
      <c r="Q10" s="3050"/>
      <c r="R10" s="3050"/>
      <c r="S10" s="3050"/>
      <c r="T10" s="3050"/>
      <c r="U10" s="3050"/>
    </row>
    <row r="11" spans="1:21">
      <c r="A11" s="2997" t="s">
        <v>1987</v>
      </c>
      <c r="B11" s="1615" t="s">
        <v>2999</v>
      </c>
      <c r="C11" s="1601"/>
      <c r="D11" s="1675"/>
      <c r="E11" s="3069"/>
      <c r="F11" s="3069"/>
      <c r="G11" s="3069"/>
      <c r="H11" s="3069"/>
      <c r="I11" s="3069"/>
      <c r="J11" s="3070"/>
      <c r="K11" s="3053"/>
      <c r="L11" s="3049"/>
      <c r="M11" s="3049"/>
      <c r="N11" s="3050"/>
      <c r="O11" s="3051"/>
      <c r="P11" s="3050"/>
      <c r="Q11" s="3050"/>
      <c r="R11" s="3050"/>
      <c r="S11" s="3050"/>
      <c r="T11" s="3050"/>
      <c r="U11" s="3050"/>
    </row>
    <row r="12" spans="1:21">
      <c r="A12" s="1695" t="s">
        <v>2045</v>
      </c>
      <c r="B12" s="3522" t="s">
        <v>3047</v>
      </c>
      <c r="C12" s="3523"/>
      <c r="D12" s="3524"/>
      <c r="E12" s="1616" t="s">
        <v>2048</v>
      </c>
      <c r="F12" s="3540" t="s">
        <v>3048</v>
      </c>
      <c r="G12" s="3541"/>
      <c r="H12" s="3541"/>
      <c r="I12" s="3542"/>
      <c r="J12" s="3070"/>
      <c r="K12" s="3053"/>
      <c r="L12" s="3049"/>
      <c r="M12" s="3049"/>
      <c r="N12" s="3050"/>
      <c r="O12" s="3051"/>
      <c r="P12" s="3050"/>
      <c r="Q12" s="3050"/>
      <c r="R12" s="3050"/>
      <c r="S12" s="3050"/>
      <c r="T12" s="3050"/>
      <c r="U12" s="3050"/>
    </row>
    <row r="13" spans="1:21">
      <c r="A13" s="1607" t="s">
        <v>2046</v>
      </c>
      <c r="B13" s="3522" t="s">
        <v>3484</v>
      </c>
      <c r="C13" s="3523"/>
      <c r="D13" s="3524"/>
      <c r="E13" s="1616" t="s">
        <v>2048</v>
      </c>
      <c r="F13" s="3540" t="s">
        <v>3050</v>
      </c>
      <c r="G13" s="3541"/>
      <c r="H13" s="3541"/>
      <c r="I13" s="3542"/>
      <c r="J13" s="3070"/>
      <c r="K13" s="3053"/>
      <c r="L13" s="3049"/>
      <c r="M13" s="3049"/>
      <c r="N13" s="3050"/>
      <c r="O13" s="3051"/>
      <c r="P13" s="3050"/>
      <c r="Q13" s="3050"/>
      <c r="R13" s="3050"/>
      <c r="S13" s="3050"/>
      <c r="T13" s="3050"/>
      <c r="U13" s="3050"/>
    </row>
    <row r="14" spans="1:21">
      <c r="A14" s="1584" t="s">
        <v>2049</v>
      </c>
      <c r="B14" s="1616"/>
      <c r="C14" s="1754"/>
      <c r="D14" s="1650" t="str">
        <f>IF(C14="不一致","是否符合证载地类范围","")</f>
        <v/>
      </c>
      <c r="E14" s="1616"/>
      <c r="F14" s="1700"/>
      <c r="G14" s="1645"/>
      <c r="H14" s="1645"/>
      <c r="I14" s="1747"/>
      <c r="J14" s="3070"/>
      <c r="K14" s="3053"/>
      <c r="L14" s="3049"/>
      <c r="M14" s="3049"/>
      <c r="N14" s="3050"/>
      <c r="O14" s="3051"/>
      <c r="P14" s="3050"/>
      <c r="Q14" s="3050"/>
      <c r="R14" s="3050"/>
      <c r="S14" s="3050"/>
      <c r="T14" s="3050"/>
      <c r="U14" s="3050"/>
    </row>
    <row r="15" spans="1:21" hidden="1">
      <c r="A15" s="2483"/>
      <c r="B15" s="1586"/>
      <c r="C15" s="1586"/>
      <c r="D15" s="1679" t="s">
        <v>1937</v>
      </c>
      <c r="E15" s="1679" t="s">
        <v>1938</v>
      </c>
      <c r="F15" s="1679" t="s">
        <v>1939</v>
      </c>
      <c r="G15" s="1606" t="s">
        <v>1940</v>
      </c>
      <c r="H15" s="1606" t="s">
        <v>1941</v>
      </c>
      <c r="I15" s="1606" t="s">
        <v>1942</v>
      </c>
      <c r="J15" s="3070"/>
      <c r="K15" s="3053"/>
      <c r="L15" s="3049"/>
      <c r="M15" s="3049"/>
      <c r="N15" s="3050"/>
      <c r="O15" s="3051"/>
      <c r="P15" s="3050"/>
      <c r="Q15" s="3050"/>
      <c r="R15" s="3050"/>
      <c r="S15" s="3050"/>
      <c r="T15" s="3050"/>
      <c r="U15" s="3050"/>
    </row>
    <row r="16" spans="1:21" ht="42.75">
      <c r="A16" s="2998" t="s">
        <v>1935</v>
      </c>
      <c r="B16" s="1602" t="s">
        <v>2944</v>
      </c>
      <c r="C16" s="1616" t="s">
        <v>1936</v>
      </c>
      <c r="D16" s="2484" t="s">
        <v>1937</v>
      </c>
      <c r="E16" s="1639" t="s">
        <v>3001</v>
      </c>
      <c r="F16" s="1639" t="s">
        <v>1667</v>
      </c>
      <c r="G16" s="1639" t="s">
        <v>35</v>
      </c>
      <c r="H16" s="1639"/>
      <c r="I16" s="1606" t="s">
        <v>1942</v>
      </c>
      <c r="J16" s="3070"/>
      <c r="K16" s="2307" t="str">
        <f>IF(D17="","",D16&amp;TEXT(D17,"yyyy年m月d日;;"))</f>
        <v/>
      </c>
      <c r="L16" s="1616" t="str">
        <f>IF(OR(K16="",M16=""),"","、")</f>
        <v/>
      </c>
      <c r="M16" s="2307" t="str">
        <f>IF(E17="","",E16&amp;TEXT(E17,"yyyy年m月d日;;"))</f>
        <v>商业2057年9月13日</v>
      </c>
      <c r="N16" s="1616" t="str">
        <f>IF(OR(M16="",O16=""),"","、")</f>
        <v>、</v>
      </c>
      <c r="O16" s="2307" t="str">
        <f>IF(F17="","",F16&amp;TEXT(F17,"yyyy年m月d日;;"))</f>
        <v>办公2057年9月13日</v>
      </c>
      <c r="P16" s="1616" t="str">
        <f>IF(OR(O16="",Q16=""),"","、")</f>
        <v>、</v>
      </c>
      <c r="Q16" s="2307" t="str">
        <f>IF(G17="","",G16&amp;TEXT(G17,"yyyy年m月d日;;"))</f>
        <v>地下车库2057年9月13日</v>
      </c>
      <c r="R16" s="1616" t="str">
        <f>IF(OR(Q16="",S16=""),"","、")</f>
        <v/>
      </c>
      <c r="S16" s="2307" t="str">
        <f>IF(H17="","",H16&amp;TEXT(H17,"yyyy年m月d日;;"))</f>
        <v/>
      </c>
      <c r="T16" s="1616" t="str">
        <f>IF(OR(S16="",U16=""),"","、")</f>
        <v/>
      </c>
      <c r="U16" s="2307" t="str">
        <f>IF(I17="","",I16&amp;TEXT(I17,"yyyy年m月d日;;"))</f>
        <v/>
      </c>
    </row>
    <row r="17" spans="1:21">
      <c r="A17" s="1676"/>
      <c r="B17" s="1603"/>
      <c r="C17" s="2999" t="s">
        <v>1943</v>
      </c>
      <c r="D17" s="1617"/>
      <c r="E17" s="1617">
        <v>57601</v>
      </c>
      <c r="F17" s="1617">
        <v>57601</v>
      </c>
      <c r="G17" s="1617">
        <v>57601</v>
      </c>
      <c r="H17" s="1617"/>
      <c r="I17" s="1617"/>
      <c r="J17" s="3070"/>
      <c r="K17" s="3048" t="str">
        <f>CONCATENATE(K16,L16,M16,N16,O16,P16,Q16,R16,S16,T16,,U16)</f>
        <v>商业2057年9月13日、办公2057年9月13日、地下车库2057年9月13日</v>
      </c>
      <c r="L17" s="3049"/>
      <c r="M17" s="3049"/>
      <c r="N17" s="3050"/>
      <c r="O17" s="3051"/>
      <c r="P17" s="3050"/>
      <c r="Q17" s="3050"/>
      <c r="R17" s="3050"/>
      <c r="S17" s="3050"/>
      <c r="T17" s="3050"/>
      <c r="U17" s="3050"/>
    </row>
    <row r="18" spans="1:21">
      <c r="A18" s="1676"/>
      <c r="B18" s="1603"/>
      <c r="C18" s="2999" t="s">
        <v>1944</v>
      </c>
      <c r="D18" s="1604">
        <v>70</v>
      </c>
      <c r="E18" s="1604">
        <v>40</v>
      </c>
      <c r="F18" s="1604">
        <v>40</v>
      </c>
      <c r="G18" s="1604">
        <v>40</v>
      </c>
      <c r="H18" s="1604"/>
      <c r="I18" s="1604"/>
      <c r="J18" s="3070"/>
      <c r="K18" s="3053"/>
      <c r="L18" s="3049"/>
      <c r="M18" s="3049"/>
      <c r="N18" s="3050"/>
      <c r="O18" s="3051"/>
      <c r="P18" s="3050"/>
      <c r="Q18" s="3050"/>
      <c r="R18" s="3050"/>
      <c r="S18" s="3050"/>
      <c r="T18" s="3050"/>
      <c r="U18" s="3050"/>
    </row>
    <row r="19" spans="1:21">
      <c r="A19" s="1676"/>
      <c r="B19" s="1603"/>
      <c r="C19" s="1583" t="s">
        <v>1945</v>
      </c>
      <c r="D19" s="1671" t="str">
        <f>IF(B16="出让",IF(D17="","",ROUNDDOWN(MIN((D17-$D$3)/365,D18),2)),D18)</f>
        <v/>
      </c>
      <c r="E19" s="1605">
        <f>IF(B16="出让",IF(E17="","",ROUNDDOWN(MIN((E17-$D$3)/365,E18),2)),E18)</f>
        <v>36.229999999999997</v>
      </c>
      <c r="F19" s="1605">
        <f>IF(B16="出让",IF(F17="","",ROUNDDOWN(MIN((F17-$D$3)/365,F18),2)),F18)</f>
        <v>36.229999999999997</v>
      </c>
      <c r="G19" s="1605">
        <f>IF(B16="出让",IF(G17="","",ROUNDDOWN(MIN((G17-$D$3)/365,G18),2)),G18)</f>
        <v>36.229999999999997</v>
      </c>
      <c r="H19" s="1605" t="str">
        <f>IF(B16="出让",IF(H17="","",ROUNDDOWN(MIN((H17-$D$3)/365,H18),2)),H18)</f>
        <v/>
      </c>
      <c r="I19" s="1605" t="str">
        <f>IF(B16="出让",IF(I17="","",ROUNDDOWN(MIN((I17-$D$3)/365,I18),2)),I18)</f>
        <v/>
      </c>
      <c r="J19" s="3070"/>
      <c r="K19" s="3053"/>
      <c r="L19" s="3049"/>
      <c r="M19" s="3049"/>
      <c r="N19" s="3050"/>
      <c r="O19" s="3051"/>
      <c r="P19" s="3050"/>
      <c r="Q19" s="3050"/>
      <c r="R19" s="3050"/>
      <c r="S19" s="3050"/>
      <c r="T19" s="3050"/>
      <c r="U19" s="3050"/>
    </row>
    <row r="20" spans="1:21">
      <c r="A20" s="1696"/>
      <c r="B20" s="1697"/>
      <c r="C20" s="1698" t="s">
        <v>2047</v>
      </c>
      <c r="D20" s="3537" t="s">
        <v>3476</v>
      </c>
      <c r="E20" s="3538"/>
      <c r="F20" s="3538"/>
      <c r="G20" s="3538"/>
      <c r="H20" s="3538"/>
      <c r="I20" s="3539"/>
      <c r="J20" s="3070"/>
      <c r="K20" s="3053"/>
      <c r="L20" s="3049"/>
      <c r="M20" s="3049"/>
      <c r="N20" s="3050"/>
      <c r="O20" s="3051"/>
      <c r="P20" s="3050"/>
      <c r="Q20" s="3050"/>
      <c r="R20" s="3050"/>
      <c r="S20" s="3050"/>
      <c r="T20" s="3050"/>
      <c r="U20" s="3050"/>
    </row>
    <row r="21" spans="1:21">
      <c r="A21" s="1676" t="s">
        <v>1946</v>
      </c>
      <c r="B21" s="1677" t="s">
        <v>1947</v>
      </c>
      <c r="C21" s="1672">
        <f>'数据-汇总表'!E3</f>
        <v>197089.87</v>
      </c>
      <c r="D21" s="1673" t="s">
        <v>1948</v>
      </c>
      <c r="E21" s="3527" t="s">
        <v>3486</v>
      </c>
      <c r="F21" s="3528"/>
      <c r="G21" s="3528"/>
      <c r="H21" s="3528"/>
      <c r="I21" s="3529"/>
      <c r="J21" s="3070"/>
      <c r="K21" s="3053"/>
      <c r="L21" s="3049"/>
      <c r="M21" s="3049"/>
      <c r="N21" s="3050"/>
      <c r="O21" s="3051"/>
      <c r="P21" s="3050"/>
      <c r="Q21" s="3050"/>
      <c r="R21" s="3050"/>
      <c r="S21" s="3050"/>
      <c r="T21" s="3050"/>
      <c r="U21" s="3050"/>
    </row>
    <row r="22" spans="1:21">
      <c r="A22" s="2798" t="s">
        <v>942</v>
      </c>
      <c r="B22" s="1584" t="s">
        <v>1949</v>
      </c>
      <c r="C22" s="1606">
        <f>'数据-汇总表'!D3</f>
        <v>19463.21</v>
      </c>
      <c r="D22" s="1607" t="s">
        <v>1948</v>
      </c>
      <c r="E22" s="3527" t="s">
        <v>3485</v>
      </c>
      <c r="F22" s="3528"/>
      <c r="G22" s="3528"/>
      <c r="H22" s="3528"/>
      <c r="I22" s="3529"/>
      <c r="J22" s="3070"/>
      <c r="K22" s="3053"/>
      <c r="L22" s="3049"/>
      <c r="M22" s="3049"/>
      <c r="N22" s="3050"/>
      <c r="O22" s="3051"/>
      <c r="P22" s="3050"/>
      <c r="Q22" s="3050"/>
      <c r="R22" s="3050"/>
      <c r="S22" s="3050"/>
      <c r="T22" s="3050"/>
      <c r="U22" s="3050"/>
    </row>
    <row r="23" spans="1:21" ht="43.5" thickBot="1">
      <c r="A23" s="1678" t="s">
        <v>1950</v>
      </c>
      <c r="B23" s="1618" t="s">
        <v>1951</v>
      </c>
      <c r="C23" s="1619"/>
      <c r="D23" s="1620" t="s">
        <v>1952</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1953</v>
      </c>
      <c r="B24" s="3530" t="s">
        <v>1954</v>
      </c>
      <c r="C24" s="3531"/>
      <c r="D24" s="3532" t="s">
        <v>1955</v>
      </c>
      <c r="E24" s="3533"/>
      <c r="F24" s="1625" t="s">
        <v>1956</v>
      </c>
      <c r="G24" s="3070"/>
      <c r="H24" s="3070"/>
      <c r="I24" s="3074"/>
      <c r="J24" s="3070"/>
      <c r="K24" s="3518"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2311</v>
      </c>
      <c r="C25" s="1626" t="s">
        <v>1958</v>
      </c>
      <c r="D25" s="1627"/>
      <c r="E25" s="1628" t="s">
        <v>942</v>
      </c>
      <c r="F25" s="1629"/>
      <c r="G25" s="3070"/>
      <c r="H25" s="3070"/>
      <c r="I25" s="3074"/>
      <c r="J25" s="3070"/>
      <c r="K25" s="3518"/>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1959</v>
      </c>
      <c r="C26" s="1626" t="s">
        <v>2312</v>
      </c>
      <c r="D26" s="3071"/>
      <c r="E26" s="3071"/>
      <c r="F26" s="3077"/>
      <c r="G26" s="3070"/>
      <c r="H26" s="3070"/>
      <c r="I26" s="3074"/>
      <c r="J26" s="3070"/>
      <c r="K26" s="3518"/>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1960</v>
      </c>
      <c r="B27" s="1666" t="s">
        <v>1961</v>
      </c>
      <c r="C27" s="1630"/>
      <c r="D27" s="2489" t="s">
        <v>1961</v>
      </c>
      <c r="E27" s="1631"/>
      <c r="F27" s="3077"/>
      <c r="G27" s="3070"/>
      <c r="H27" s="3070"/>
      <c r="I27" s="3074"/>
      <c r="J27" s="3070"/>
      <c r="K27" s="3053"/>
      <c r="L27" s="3049"/>
      <c r="M27" s="3049"/>
      <c r="N27" s="3050"/>
      <c r="O27" s="3051"/>
      <c r="P27" s="3050"/>
      <c r="Q27" s="3050"/>
      <c r="R27" s="3050"/>
      <c r="S27" s="3050"/>
      <c r="T27" s="3050"/>
      <c r="U27" s="3050"/>
    </row>
    <row r="28" spans="1:21">
      <c r="A28" s="1669"/>
      <c r="B28" s="1666" t="s">
        <v>1962</v>
      </c>
      <c r="C28" s="1632"/>
      <c r="D28" s="2490" t="s">
        <v>1962</v>
      </c>
      <c r="E28" s="1633"/>
      <c r="F28" s="3077"/>
      <c r="G28" s="3070"/>
      <c r="H28" s="3070"/>
      <c r="I28" s="3074"/>
      <c r="J28" s="3070"/>
      <c r="K28" s="3053"/>
      <c r="L28" s="3049"/>
      <c r="M28" s="3049"/>
      <c r="N28" s="3050"/>
      <c r="O28" s="3051"/>
      <c r="P28" s="3050"/>
      <c r="Q28" s="3050"/>
      <c r="R28" s="3050"/>
      <c r="S28" s="3050"/>
      <c r="T28" s="3050"/>
      <c r="U28" s="3050"/>
    </row>
    <row r="29" spans="1:21">
      <c r="A29" s="1669"/>
      <c r="B29" s="1666" t="s">
        <v>1963</v>
      </c>
      <c r="C29" s="1632"/>
      <c r="D29" s="2490" t="s">
        <v>1963</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1964</v>
      </c>
      <c r="C30" s="1634"/>
      <c r="D30" s="2491" t="s">
        <v>1964</v>
      </c>
      <c r="E30" s="1635"/>
      <c r="F30" s="3078"/>
      <c r="G30" s="3075"/>
      <c r="H30" s="3075"/>
      <c r="I30" s="3076"/>
      <c r="J30" s="3070"/>
      <c r="K30" s="3053"/>
      <c r="L30" s="3049"/>
      <c r="M30" s="3049"/>
      <c r="N30" s="3050"/>
      <c r="O30" s="3051"/>
      <c r="P30" s="3050"/>
      <c r="Q30" s="3050"/>
      <c r="R30" s="3050"/>
      <c r="S30" s="3050"/>
      <c r="T30" s="3050"/>
      <c r="U30" s="3050"/>
    </row>
    <row r="31" spans="1:21" ht="15" thickTop="1">
      <c r="A31" s="3504" t="s">
        <v>1988</v>
      </c>
      <c r="B31" s="1677" t="s">
        <v>1989</v>
      </c>
      <c r="C31" s="3543" t="s">
        <v>3487</v>
      </c>
      <c r="D31" s="3544"/>
      <c r="E31" s="3070"/>
      <c r="F31" s="3070"/>
      <c r="G31" s="3070"/>
      <c r="H31" s="3070"/>
      <c r="I31" s="3074"/>
      <c r="J31" s="3070"/>
      <c r="K31" s="3056"/>
      <c r="L31" s="3050"/>
      <c r="M31" s="3050"/>
      <c r="N31" s="3050"/>
      <c r="O31" s="3050"/>
      <c r="P31" s="3050"/>
      <c r="Q31" s="3050"/>
      <c r="R31" s="3050"/>
      <c r="S31" s="3050"/>
      <c r="T31" s="3050"/>
      <c r="U31" s="3050"/>
    </row>
    <row r="32" spans="1:21">
      <c r="A32" s="3504"/>
      <c r="B32" s="1584" t="s">
        <v>1990</v>
      </c>
      <c r="C32" s="1636" t="s">
        <v>3002</v>
      </c>
      <c r="D32" s="1637"/>
      <c r="E32" s="3070"/>
      <c r="F32" s="3070"/>
      <c r="G32" s="3070"/>
      <c r="H32" s="3070"/>
      <c r="I32" s="3074"/>
      <c r="J32" s="3070"/>
      <c r="K32" s="3056"/>
      <c r="L32" s="3050"/>
      <c r="M32" s="3050"/>
      <c r="N32" s="3050"/>
      <c r="O32" s="3050"/>
      <c r="P32" s="3050"/>
      <c r="Q32" s="3050"/>
      <c r="R32" s="3050"/>
      <c r="S32" s="3050"/>
      <c r="T32" s="3050"/>
      <c r="U32" s="3050"/>
    </row>
    <row r="33" spans="1:28">
      <c r="A33" s="3504"/>
      <c r="B33" s="1584" t="s">
        <v>1991</v>
      </c>
      <c r="C33" s="1638" t="s">
        <v>3003</v>
      </c>
      <c r="D33" s="1748"/>
      <c r="E33" s="3070"/>
      <c r="F33" s="3070"/>
      <c r="G33" s="3070"/>
      <c r="H33" s="3070"/>
      <c r="I33" s="3074"/>
      <c r="J33" s="3070"/>
      <c r="K33" s="3056"/>
      <c r="L33" s="3050"/>
      <c r="M33" s="3050"/>
      <c r="N33" s="3050"/>
      <c r="O33" s="3050"/>
      <c r="P33" s="3050"/>
      <c r="Q33" s="3050"/>
      <c r="R33" s="3050"/>
      <c r="S33" s="3050"/>
      <c r="T33" s="3050"/>
      <c r="U33" s="3050"/>
    </row>
    <row r="34" spans="1:28">
      <c r="A34" s="3505"/>
      <c r="B34" s="1584" t="s">
        <v>1992</v>
      </c>
      <c r="C34" s="3506"/>
      <c r="D34" s="3507"/>
      <c r="E34" s="3070"/>
      <c r="F34" s="3070"/>
      <c r="G34" s="3070"/>
      <c r="H34" s="3070"/>
      <c r="I34" s="3074"/>
      <c r="J34" s="3070"/>
      <c r="K34" s="3056"/>
      <c r="L34" s="3050"/>
      <c r="M34" s="3050"/>
      <c r="N34" s="3050"/>
      <c r="O34" s="3050"/>
      <c r="P34" s="3050"/>
      <c r="Q34" s="3050"/>
      <c r="R34" s="3050"/>
      <c r="S34" s="3050"/>
      <c r="T34" s="3050"/>
      <c r="U34" s="3050"/>
    </row>
    <row r="35" spans="1:28">
      <c r="A35" s="3508" t="s">
        <v>838</v>
      </c>
      <c r="B35" s="1639" t="s">
        <v>3004</v>
      </c>
      <c r="C35" s="1686" t="str">
        <f>IF(B35="场地平整","——","具体情况：")</f>
        <v>——</v>
      </c>
      <c r="D35" s="3510"/>
      <c r="E35" s="3511"/>
      <c r="F35" s="3511"/>
      <c r="G35" s="3511"/>
      <c r="H35" s="3511"/>
      <c r="I35" s="3512"/>
      <c r="J35" s="3070"/>
      <c r="K35" s="3057"/>
      <c r="L35" s="3049"/>
      <c r="M35" s="3049"/>
      <c r="N35" s="3050"/>
      <c r="O35" s="3051"/>
      <c r="P35" s="3050"/>
      <c r="Q35" s="3050"/>
      <c r="R35" s="3050"/>
      <c r="S35" s="3050"/>
      <c r="T35" s="3050"/>
      <c r="U35" s="3050"/>
    </row>
    <row r="36" spans="1:28">
      <c r="A36" s="3504"/>
      <c r="B36" s="3513" t="s">
        <v>2041</v>
      </c>
      <c r="C36" s="3514"/>
      <c r="D36" s="1702" t="s">
        <v>3005</v>
      </c>
      <c r="E36" s="3515"/>
      <c r="F36" s="3515"/>
      <c r="G36" s="1607" t="str">
        <f>IF(B35="场地未平整","估价结果处理","")</f>
        <v/>
      </c>
      <c r="H36" s="3516"/>
      <c r="I36" s="3516"/>
      <c r="J36" s="3070"/>
      <c r="K36" s="3057"/>
      <c r="L36" s="3049"/>
      <c r="M36" s="3049"/>
      <c r="N36" s="3050"/>
      <c r="O36" s="3051"/>
      <c r="P36" s="3050"/>
      <c r="Q36" s="3050"/>
      <c r="R36" s="3050"/>
      <c r="S36" s="3050"/>
      <c r="T36" s="3050"/>
      <c r="U36" s="3050"/>
    </row>
    <row r="37" spans="1:28" ht="28.5">
      <c r="A37" s="3504"/>
      <c r="B37" s="3534" t="s">
        <v>839</v>
      </c>
      <c r="C37" s="1641" t="s">
        <v>840</v>
      </c>
      <c r="D37" s="1642"/>
      <c r="E37" s="1643"/>
      <c r="F37" s="3070"/>
      <c r="G37" s="3070"/>
      <c r="H37" s="3070"/>
      <c r="I37" s="3074"/>
      <c r="J37" s="3070"/>
      <c r="K37" s="3057"/>
      <c r="L37" s="3050"/>
      <c r="M37" s="3050"/>
      <c r="N37" s="3050"/>
      <c r="O37" s="3050"/>
      <c r="P37" s="3050"/>
      <c r="Q37" s="3050"/>
      <c r="R37" s="3050"/>
      <c r="S37" s="3050"/>
      <c r="T37" s="3050"/>
      <c r="U37" s="3050"/>
    </row>
    <row r="38" spans="1:28">
      <c r="A38" s="3504"/>
      <c r="B38" s="3535"/>
      <c r="C38" s="1592" t="s">
        <v>841</v>
      </c>
      <c r="D38" s="1701">
        <f>ROUNDDOWN(MIN(('数据-取费表'!$B$2-D37)/365,D34),1)</f>
        <v>121.5</v>
      </c>
      <c r="E38" s="1644" t="s">
        <v>842</v>
      </c>
      <c r="F38" s="3070"/>
      <c r="G38" s="3070"/>
      <c r="H38" s="3070"/>
      <c r="I38" s="3074"/>
      <c r="J38" s="3070"/>
      <c r="K38" s="3057"/>
      <c r="L38" s="3050"/>
      <c r="M38" s="3050"/>
      <c r="N38" s="3050"/>
      <c r="O38" s="3050"/>
      <c r="P38" s="3050"/>
      <c r="Q38" s="3050"/>
      <c r="R38" s="3050"/>
      <c r="S38" s="3050"/>
      <c r="T38" s="3050"/>
      <c r="U38" s="3050"/>
    </row>
    <row r="39" spans="1:28">
      <c r="A39" s="3505"/>
      <c r="B39" s="3536"/>
      <c r="C39" s="1614"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7" t="s">
        <v>1965</v>
      </c>
      <c r="B40" s="1608" t="s">
        <v>3006</v>
      </c>
      <c r="C40" s="1608" t="s">
        <v>3007</v>
      </c>
      <c r="D40" s="1608" t="s">
        <v>3008</v>
      </c>
      <c r="E40" s="1608" t="s">
        <v>3009</v>
      </c>
      <c r="F40" s="1608" t="s">
        <v>3010</v>
      </c>
      <c r="G40" s="1608" t="s">
        <v>3011</v>
      </c>
      <c r="H40" s="1608"/>
      <c r="I40" s="3074"/>
      <c r="J40" s="3070"/>
      <c r="K40" s="3018">
        <f>COUNTIF(B40:H40,"——")</f>
        <v>0</v>
      </c>
      <c r="L40" s="1616" t="s">
        <v>1966</v>
      </c>
      <c r="M40" s="1613" t="s">
        <v>1967</v>
      </c>
      <c r="N40" s="1613" t="s">
        <v>1968</v>
      </c>
      <c r="O40" s="1613" t="s">
        <v>1969</v>
      </c>
      <c r="P40" s="1613" t="s">
        <v>1970</v>
      </c>
      <c r="Q40" s="1613" t="s">
        <v>1971</v>
      </c>
      <c r="R40" s="1613" t="s">
        <v>1972</v>
      </c>
      <c r="S40" s="3517" t="s">
        <v>1973</v>
      </c>
      <c r="T40" s="1648" t="str">
        <f>NUMBERSTRING(7-K40,1)&amp;"通"</f>
        <v>七通</v>
      </c>
      <c r="U40" s="3050"/>
    </row>
    <row r="41" spans="1:28" ht="28.5">
      <c r="A41" s="1586"/>
      <c r="B41" s="3509" t="s">
        <v>1711</v>
      </c>
      <c r="C41" s="3509"/>
      <c r="D41" s="3509"/>
      <c r="E41" s="3509"/>
      <c r="F41" s="1649" t="str">
        <f>C10</f>
        <v>湖北省武汉市</v>
      </c>
      <c r="G41" s="3070"/>
      <c r="H41" s="3070"/>
      <c r="I41" s="3074"/>
      <c r="J41" s="3070"/>
      <c r="K41" s="1616"/>
      <c r="L41" s="1613" t="str">
        <f>B40</f>
        <v>通路</v>
      </c>
      <c r="M41" s="1650" t="str">
        <f>B40&amp;"、"&amp;C40</f>
        <v>通路、通电</v>
      </c>
      <c r="N41" s="1651" t="str">
        <f>B40&amp;"、"&amp;C40&amp;"、"&amp;D40</f>
        <v>通路、通电、通讯</v>
      </c>
      <c r="O41" s="1651" t="str">
        <f>B40&amp;"、"&amp;C40&amp;"、"&amp;D40&amp;"、"&amp;E40</f>
        <v>通路、通电、通讯、通上水</v>
      </c>
      <c r="P41" s="1651" t="str">
        <f>B40&amp;"、"&amp;C40&amp;"、"&amp;D40&amp;"、"&amp;E40&amp;"、"&amp;F40</f>
        <v>通路、通电、通讯、通上水、通下水</v>
      </c>
      <c r="Q41" s="1651" t="str">
        <f>B40&amp;"、"&amp;C40&amp;"、"&amp;D40&amp;"、"&amp;E40&amp;"、"&amp;F40&amp;"、"&amp;G40</f>
        <v>通路、通电、通讯、通上水、通下水、燃气</v>
      </c>
      <c r="R41" s="1651" t="str">
        <f>B40&amp;"、"&amp;C40&amp;"、"&amp;D40&amp;"、"&amp;E40&amp;"、"&amp;F40&amp;"、"&amp;G40&amp;"、"&amp;H40</f>
        <v>通路、通电、通讯、通上水、通下水、燃气、</v>
      </c>
      <c r="S41" s="3517"/>
      <c r="T41" s="1650" t="str">
        <f>IF(T40="一通",L41,IF(T40="二通",M41,IF(T40="三通",N41,IF(T40="四通",O41,IF(T40="五通",P41,IF(T40="六通",Q41,R41))))))</f>
        <v>通路、通电、通讯、通上水、通下水、燃气、</v>
      </c>
      <c r="U41" s="3050"/>
    </row>
    <row r="42" spans="1:28">
      <c r="A42" s="1652"/>
      <c r="B42" s="1679" t="s">
        <v>1887</v>
      </c>
      <c r="C42" s="1679" t="s">
        <v>1888</v>
      </c>
      <c r="D42" s="1679" t="s">
        <v>1889</v>
      </c>
      <c r="E42" s="1616" t="s">
        <v>1890</v>
      </c>
      <c r="F42" s="1653"/>
      <c r="G42" s="3070"/>
      <c r="H42" s="3070"/>
      <c r="I42" s="3074"/>
      <c r="J42" s="3070"/>
      <c r="K42" s="3053"/>
      <c r="L42" s="3049"/>
      <c r="M42" s="3049"/>
      <c r="N42" s="3050"/>
      <c r="O42" s="3051"/>
      <c r="P42" s="3050"/>
      <c r="Q42" s="3050"/>
      <c r="R42" s="3050"/>
      <c r="S42" s="3050"/>
      <c r="T42" s="3050"/>
      <c r="U42" s="3050"/>
    </row>
    <row r="43" spans="1:28">
      <c r="A43" s="3021" t="s">
        <v>1696</v>
      </c>
      <c r="B43" s="1654"/>
      <c r="C43" s="1654"/>
      <c r="D43" s="1654"/>
      <c r="E43" s="1654"/>
      <c r="F43" s="1655"/>
      <c r="G43" s="3070"/>
      <c r="H43" s="3070"/>
      <c r="I43" s="3074"/>
      <c r="J43" s="3070"/>
      <c r="K43" s="3053"/>
      <c r="L43" s="3049"/>
      <c r="M43" s="3049"/>
      <c r="N43" s="3050"/>
      <c r="O43" s="3051"/>
      <c r="P43" s="3050"/>
      <c r="Q43" s="3050"/>
      <c r="R43" s="3050"/>
      <c r="S43" s="3050"/>
      <c r="T43" s="3050"/>
      <c r="U43" s="3050"/>
    </row>
    <row r="44" spans="1:28">
      <c r="A44" s="3021" t="s">
        <v>1697</v>
      </c>
      <c r="B44" s="1654"/>
      <c r="C44" s="1654"/>
      <c r="D44" s="1654"/>
      <c r="E44" s="1702"/>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2864</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1"/>
      <c r="B46" s="1611"/>
      <c r="C46" s="1611"/>
      <c r="D46" s="1611"/>
      <c r="E46" s="1611"/>
      <c r="F46" s="1611"/>
      <c r="G46" s="1611"/>
      <c r="H46" s="1611"/>
      <c r="I46" s="1624"/>
      <c r="J46" s="1611"/>
      <c r="K46" s="3053"/>
      <c r="L46" s="3049"/>
      <c r="M46" s="3049"/>
      <c r="N46" s="3050"/>
      <c r="O46" s="3051"/>
      <c r="P46" s="3050"/>
      <c r="Q46" s="3050"/>
      <c r="R46" s="3050"/>
      <c r="S46" s="3050"/>
      <c r="T46" s="3050"/>
      <c r="U46" s="3050"/>
    </row>
    <row r="47" spans="1:28">
      <c r="A47" s="1656" t="s">
        <v>1993</v>
      </c>
      <c r="B47" s="1657"/>
      <c r="C47" s="1646"/>
      <c r="D47" s="1611"/>
      <c r="E47" s="1611"/>
      <c r="F47" s="1611"/>
      <c r="G47" s="1611"/>
      <c r="H47" s="1611"/>
      <c r="I47" s="1612"/>
      <c r="J47" s="1611"/>
      <c r="K47" s="3053"/>
      <c r="L47" s="3049"/>
      <c r="M47" s="3049"/>
      <c r="N47" s="3050"/>
      <c r="O47" s="3051"/>
      <c r="P47" s="3050"/>
      <c r="Q47" s="3050"/>
      <c r="R47" s="3050"/>
      <c r="S47" s="3050"/>
      <c r="T47" s="3050"/>
      <c r="U47" s="3050"/>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3" t="s">
        <v>2004</v>
      </c>
      <c r="L48" s="3063" t="s">
        <v>2005</v>
      </c>
      <c r="M48" s="3063" t="s">
        <v>2006</v>
      </c>
      <c r="N48" s="3064" t="s">
        <v>2007</v>
      </c>
      <c r="O48" s="3064" t="s">
        <v>2008</v>
      </c>
      <c r="P48" s="3064" t="s">
        <v>2009</v>
      </c>
      <c r="Q48" s="3055" t="s">
        <v>2010</v>
      </c>
      <c r="R48" s="3055" t="s">
        <v>2011</v>
      </c>
      <c r="S48" s="3050"/>
      <c r="T48" s="3050"/>
      <c r="U48" s="3050"/>
    </row>
    <row r="49" spans="1:21">
      <c r="A49" s="1613"/>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3"/>
      <c r="B50" s="1613"/>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3"/>
      <c r="B51" s="1613"/>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3"/>
      <c r="B52" s="1613"/>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3"/>
      <c r="B53" s="1613"/>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3"/>
      <c r="B54" s="1613"/>
      <c r="C54" s="1613"/>
      <c r="D54" s="1613"/>
      <c r="E54" s="1613"/>
      <c r="F54" s="1647"/>
      <c r="G54" s="1613"/>
      <c r="H54" s="1613"/>
      <c r="I54" s="1613"/>
      <c r="J54" s="1750"/>
      <c r="K54" s="3065"/>
      <c r="L54" s="3065"/>
      <c r="M54" s="3065"/>
      <c r="N54" s="3017"/>
      <c r="O54" s="3017"/>
      <c r="P54" s="3017"/>
      <c r="Q54" s="3017"/>
      <c r="R54" s="3017"/>
      <c r="S54" s="3050"/>
      <c r="T54" s="3050"/>
      <c r="U54" s="3050"/>
    </row>
    <row r="55" spans="1:21">
      <c r="A55" s="1613"/>
      <c r="B55" s="1613"/>
      <c r="C55" s="1613"/>
      <c r="D55" s="1613"/>
      <c r="E55" s="1613"/>
      <c r="F55" s="1647"/>
      <c r="G55" s="1613"/>
      <c r="H55" s="1613"/>
      <c r="I55" s="1613"/>
      <c r="J55" s="1750"/>
      <c r="K55" s="3065"/>
      <c r="L55" s="3065"/>
      <c r="M55" s="3065"/>
      <c r="N55" s="3017"/>
      <c r="O55" s="3017"/>
      <c r="P55" s="3017"/>
      <c r="Q55" s="3017"/>
      <c r="R55" s="3017"/>
      <c r="S55" s="3050"/>
      <c r="T55" s="3050"/>
      <c r="U55" s="3050"/>
    </row>
    <row r="56" spans="1:21">
      <c r="A56" s="1613"/>
      <c r="B56" s="1613"/>
      <c r="C56" s="1613"/>
      <c r="D56" s="1613"/>
      <c r="E56" s="1613"/>
      <c r="F56" s="1647"/>
      <c r="G56" s="1613"/>
      <c r="H56" s="1613"/>
      <c r="I56" s="1613"/>
      <c r="J56" s="1750"/>
      <c r="K56" s="3065"/>
      <c r="L56" s="3065"/>
      <c r="M56" s="3065"/>
      <c r="N56" s="3017"/>
      <c r="O56" s="3017"/>
      <c r="P56" s="3017"/>
      <c r="Q56" s="3017"/>
      <c r="R56" s="3017"/>
      <c r="S56" s="3050"/>
      <c r="T56" s="3050"/>
      <c r="U56" s="3050"/>
    </row>
    <row r="57" spans="1:21">
      <c r="A57" s="1613"/>
      <c r="B57" s="1613"/>
      <c r="C57" s="1613"/>
      <c r="D57" s="1613"/>
      <c r="E57" s="1613"/>
      <c r="F57" s="1647"/>
      <c r="G57" s="1613"/>
      <c r="H57" s="1613"/>
      <c r="I57" s="1613"/>
      <c r="J57" s="1750"/>
      <c r="K57" s="3065"/>
      <c r="L57" s="3065"/>
      <c r="M57" s="3065"/>
      <c r="N57" s="3017"/>
      <c r="O57" s="3017"/>
      <c r="P57" s="3017"/>
      <c r="Q57" s="3017"/>
      <c r="R57" s="3017"/>
      <c r="S57" s="3050"/>
      <c r="T57" s="3050"/>
      <c r="U57" s="3050"/>
    </row>
    <row r="58" spans="1:21">
      <c r="A58" s="1613"/>
      <c r="B58" s="1613"/>
      <c r="C58" s="1613"/>
      <c r="D58" s="1613"/>
      <c r="E58" s="1613"/>
      <c r="F58" s="1647"/>
      <c r="G58" s="1613"/>
      <c r="H58" s="1613"/>
      <c r="I58" s="1613"/>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5" t="s">
        <v>2319</v>
      </c>
      <c r="BA2" s="2216" t="s">
        <v>2318</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19463.21</v>
      </c>
      <c r="B3" s="22">
        <f>IF(C3="否",G5-AT5,G5)</f>
        <v>197089.87</v>
      </c>
      <c r="C3" s="23" t="s">
        <v>3003</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204670.87</v>
      </c>
      <c r="H5" s="27">
        <f t="shared" ref="H5:AT5" si="0">SUM(H13:H641)</f>
        <v>181123.76</v>
      </c>
      <c r="I5" s="27">
        <f t="shared" si="0"/>
        <v>80592.510000000009</v>
      </c>
      <c r="J5" s="27">
        <f t="shared" si="0"/>
        <v>0</v>
      </c>
      <c r="K5" s="27">
        <f t="shared" si="0"/>
        <v>39694.82</v>
      </c>
      <c r="L5" s="27">
        <f t="shared" si="0"/>
        <v>0</v>
      </c>
      <c r="M5" s="27">
        <f t="shared" si="0"/>
        <v>16906.939999999999</v>
      </c>
      <c r="N5" s="27">
        <f t="shared" si="0"/>
        <v>0</v>
      </c>
      <c r="O5" s="27">
        <f t="shared" si="0"/>
        <v>5513.06</v>
      </c>
      <c r="P5" s="27">
        <f t="shared" si="0"/>
        <v>0</v>
      </c>
      <c r="Q5" s="27">
        <f t="shared" si="0"/>
        <v>38416.43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15966.109999999999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15743.109999999999</v>
      </c>
      <c r="AM5" s="27">
        <f t="shared" si="0"/>
        <v>0</v>
      </c>
      <c r="AN5" s="27">
        <f t="shared" si="0"/>
        <v>223</v>
      </c>
      <c r="AO5" s="27">
        <f t="shared" si="0"/>
        <v>0</v>
      </c>
      <c r="AP5" s="27">
        <f t="shared" si="0"/>
        <v>0</v>
      </c>
      <c r="AQ5" s="27">
        <f t="shared" si="0"/>
        <v>0</v>
      </c>
      <c r="AR5" s="27">
        <f t="shared" si="0"/>
        <v>0</v>
      </c>
      <c r="AS5" s="27">
        <f t="shared" si="0"/>
        <v>0</v>
      </c>
      <c r="AT5" s="27">
        <f t="shared" si="0"/>
        <v>7581</v>
      </c>
      <c r="AU5" s="974"/>
      <c r="AV5" s="26" t="s">
        <v>168</v>
      </c>
      <c r="AW5" s="975"/>
      <c r="AX5" s="975"/>
      <c r="AY5" s="28" t="s">
        <v>3</v>
      </c>
      <c r="AZ5" s="29">
        <f t="shared" ref="AZ5:BT5" si="1">SUM(AZ13:AZ641)</f>
        <v>197089.87</v>
      </c>
      <c r="BA5" s="29">
        <f t="shared" si="1"/>
        <v>181123.76</v>
      </c>
      <c r="BB5" s="29">
        <f t="shared" si="1"/>
        <v>80592.510000000009</v>
      </c>
      <c r="BC5" s="29">
        <f t="shared" si="1"/>
        <v>39694.82</v>
      </c>
      <c r="BD5" s="29">
        <f t="shared" si="1"/>
        <v>16906.939999999999</v>
      </c>
      <c r="BE5" s="29">
        <f t="shared" si="1"/>
        <v>5513.06</v>
      </c>
      <c r="BF5" s="29">
        <f t="shared" si="1"/>
        <v>38416.43</v>
      </c>
      <c r="BG5" s="29">
        <f t="shared" si="1"/>
        <v>0</v>
      </c>
      <c r="BH5" s="29">
        <f t="shared" si="1"/>
        <v>0</v>
      </c>
      <c r="BI5" s="29">
        <f t="shared" si="1"/>
        <v>0</v>
      </c>
      <c r="BJ5" s="29">
        <f t="shared" si="1"/>
        <v>0</v>
      </c>
      <c r="BK5" s="29">
        <f t="shared" si="1"/>
        <v>0</v>
      </c>
      <c r="BL5" s="29">
        <f t="shared" si="1"/>
        <v>15966.109999999999</v>
      </c>
      <c r="BM5" s="29">
        <f t="shared" si="1"/>
        <v>0</v>
      </c>
      <c r="BN5" s="29">
        <f t="shared" si="1"/>
        <v>0</v>
      </c>
      <c r="BO5" s="29">
        <f t="shared" si="1"/>
        <v>0</v>
      </c>
      <c r="BP5" s="29">
        <f t="shared" si="1"/>
        <v>0</v>
      </c>
      <c r="BQ5" s="29">
        <f t="shared" si="1"/>
        <v>15743.109999999999</v>
      </c>
      <c r="BR5" s="29">
        <f t="shared" si="1"/>
        <v>223</v>
      </c>
      <c r="BS5" s="29">
        <f t="shared" si="1"/>
        <v>0</v>
      </c>
      <c r="BT5" s="30">
        <f t="shared" si="1"/>
        <v>0</v>
      </c>
    </row>
    <row r="6" spans="1:72" s="37" customFormat="1" ht="12.75">
      <c r="A6" s="26" t="s">
        <v>169</v>
      </c>
      <c r="B6" s="31"/>
      <c r="C6" s="31"/>
      <c r="D6" s="32"/>
      <c r="E6" s="27">
        <f>H6+AC6+AT6</f>
        <v>19463.210000000003</v>
      </c>
      <c r="F6" s="27" t="s">
        <v>1</v>
      </c>
      <c r="G6" s="27" t="s">
        <v>2</v>
      </c>
      <c r="H6" s="33">
        <f>SUMIF(I$12:AB$12,"总值",I6:AB6)</f>
        <v>17886.510000000002</v>
      </c>
      <c r="I6" s="27">
        <f t="shared" ref="I6:AB6" si="2">ROUND($A$3*I5/$B$3,2)</f>
        <v>7958.75</v>
      </c>
      <c r="J6" s="27">
        <f t="shared" si="2"/>
        <v>0</v>
      </c>
      <c r="K6" s="27">
        <f t="shared" si="2"/>
        <v>3919.98</v>
      </c>
      <c r="L6" s="27">
        <f t="shared" si="2"/>
        <v>0</v>
      </c>
      <c r="M6" s="27">
        <f t="shared" si="2"/>
        <v>1669.61</v>
      </c>
      <c r="N6" s="27">
        <f t="shared" si="2"/>
        <v>0</v>
      </c>
      <c r="O6" s="27">
        <f t="shared" si="2"/>
        <v>544.42999999999995</v>
      </c>
      <c r="P6" s="27">
        <f t="shared" si="2"/>
        <v>0</v>
      </c>
      <c r="Q6" s="27">
        <f t="shared" si="2"/>
        <v>3793.74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1554.68</v>
      </c>
      <c r="AM6" s="27">
        <f t="shared" si="3"/>
        <v>0</v>
      </c>
      <c r="AN6" s="27">
        <f t="shared" si="3"/>
        <v>22.02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19463.21</v>
      </c>
      <c r="AZ6" s="27" t="s">
        <v>3</v>
      </c>
      <c r="BA6" s="27">
        <f>ROUND($AY$6*BA5/$AZ$5,2)</f>
        <v>17886.509999999998</v>
      </c>
      <c r="BB6" s="27">
        <f>ROUND($AY$6*BB5/$AZ$5,2)</f>
        <v>7958.75</v>
      </c>
      <c r="BC6" s="27">
        <f t="shared" ref="BC6:BH6" si="4">ROUND($AY$6*BC5/$AZ$5,2)</f>
        <v>3919.98</v>
      </c>
      <c r="BD6" s="27">
        <f t="shared" si="4"/>
        <v>1669.61</v>
      </c>
      <c r="BE6" s="27">
        <f t="shared" si="4"/>
        <v>544.42999999999995</v>
      </c>
      <c r="BF6" s="27">
        <f t="shared" si="4"/>
        <v>3793.74</v>
      </c>
      <c r="BG6" s="27">
        <f t="shared" si="4"/>
        <v>0</v>
      </c>
      <c r="BH6" s="27">
        <f t="shared" si="4"/>
        <v>0</v>
      </c>
      <c r="BI6" s="27">
        <f t="shared" ref="BI6:BT6" si="5">ROUND($AY$6*BI5/$AZ$5,2)</f>
        <v>0</v>
      </c>
      <c r="BJ6" s="27">
        <f t="shared" si="5"/>
        <v>0</v>
      </c>
      <c r="BK6" s="27">
        <f t="shared" si="5"/>
        <v>0</v>
      </c>
      <c r="BL6" s="27">
        <f t="shared" si="5"/>
        <v>1576.7</v>
      </c>
      <c r="BM6" s="27">
        <f t="shared" si="5"/>
        <v>0</v>
      </c>
      <c r="BN6" s="27">
        <f t="shared" si="5"/>
        <v>0</v>
      </c>
      <c r="BO6" s="27">
        <f t="shared" si="5"/>
        <v>0</v>
      </c>
      <c r="BP6" s="27">
        <f t="shared" si="5"/>
        <v>0</v>
      </c>
      <c r="BQ6" s="27">
        <f t="shared" si="5"/>
        <v>1554.68</v>
      </c>
      <c r="BR6" s="27">
        <f t="shared" si="5"/>
        <v>22.02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3"/>
      <c r="AT8" s="2204" t="s">
        <v>846</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3051</v>
      </c>
      <c r="J9" s="51"/>
      <c r="K9" s="2728" t="s">
        <v>3051</v>
      </c>
      <c r="L9" s="51"/>
      <c r="M9" s="2728" t="s">
        <v>3051</v>
      </c>
      <c r="N9" s="51"/>
      <c r="O9" s="59" t="s">
        <v>3052</v>
      </c>
      <c r="P9" s="51"/>
      <c r="Q9" s="59" t="s">
        <v>3052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5"/>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1667</v>
      </c>
      <c r="J10" s="51"/>
      <c r="K10" s="2730" t="s">
        <v>1667</v>
      </c>
      <c r="L10" s="51"/>
      <c r="M10" s="2730" t="s">
        <v>3001</v>
      </c>
      <c r="N10" s="51"/>
      <c r="O10" s="66" t="s">
        <v>3001</v>
      </c>
      <c r="P10" s="51"/>
      <c r="Q10" s="66" t="s">
        <v>3053</v>
      </c>
      <c r="R10" s="51"/>
      <c r="S10" s="66"/>
      <c r="T10" s="51"/>
      <c r="U10" s="66"/>
      <c r="V10" s="51"/>
      <c r="W10" s="66"/>
      <c r="X10" s="51"/>
      <c r="Y10" s="66"/>
      <c r="Z10" s="51"/>
      <c r="AA10" s="66"/>
      <c r="AB10" s="51"/>
      <c r="AC10" s="55"/>
      <c r="AD10" s="2190" t="s">
        <v>2303</v>
      </c>
      <c r="AE10" s="2212"/>
      <c r="AF10" s="2190" t="s">
        <v>2303</v>
      </c>
      <c r="AG10" s="2212"/>
      <c r="AH10" s="2190" t="s">
        <v>2304</v>
      </c>
      <c r="AI10" s="2212"/>
      <c r="AJ10" s="26" t="s">
        <v>2317</v>
      </c>
      <c r="AK10" s="2209"/>
      <c r="AL10" s="2190" t="s">
        <v>2305</v>
      </c>
      <c r="AM10" s="2191"/>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3216</v>
      </c>
      <c r="J11" s="71"/>
      <c r="K11" s="2729" t="s">
        <v>3217</v>
      </c>
      <c r="L11" s="71"/>
      <c r="M11" s="70" t="s">
        <v>3218</v>
      </c>
      <c r="N11" s="71"/>
      <c r="O11" s="70"/>
      <c r="P11" s="71"/>
      <c r="Q11" s="70"/>
      <c r="R11" s="71"/>
      <c r="S11" s="70"/>
      <c r="T11" s="71"/>
      <c r="U11" s="70"/>
      <c r="V11" s="71"/>
      <c r="W11" s="70"/>
      <c r="X11" s="71"/>
      <c r="Y11" s="70"/>
      <c r="Z11" s="71"/>
      <c r="AA11" s="70"/>
      <c r="AB11" s="71"/>
      <c r="AC11" s="55"/>
      <c r="AD11" s="2210" t="s">
        <v>2316</v>
      </c>
      <c r="AE11" s="988"/>
      <c r="AF11" s="2210" t="s">
        <v>2316</v>
      </c>
      <c r="AG11" s="988"/>
      <c r="AH11" s="2210" t="s">
        <v>2315</v>
      </c>
      <c r="AI11" s="2211"/>
      <c r="AJ11" s="2210" t="s">
        <v>2315</v>
      </c>
      <c r="AK11" s="2209"/>
      <c r="AL11" s="986"/>
      <c r="AM11" s="988"/>
      <c r="AN11" s="986"/>
      <c r="AO11" s="988"/>
      <c r="AP11" s="1169"/>
      <c r="AQ11" s="1171"/>
      <c r="AR11" s="1169"/>
      <c r="AS11" s="1171"/>
      <c r="AT11" s="989"/>
      <c r="AU11" s="45"/>
      <c r="AV11" s="55"/>
      <c r="AW11" s="989"/>
      <c r="AX11" s="55"/>
      <c r="AY11" s="62"/>
      <c r="AZ11" s="62"/>
      <c r="BA11" s="62"/>
      <c r="BB11" s="50" t="str">
        <f>I10</f>
        <v>办公</v>
      </c>
      <c r="BC11" s="50" t="str">
        <f>K10</f>
        <v>办公</v>
      </c>
      <c r="BD11" s="50" t="str">
        <f>M10</f>
        <v>商业</v>
      </c>
      <c r="BE11" s="50" t="str">
        <f>O10</f>
        <v>商业</v>
      </c>
      <c r="BF11" s="50" t="str">
        <f>Q10</f>
        <v>车库</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办公楼</v>
      </c>
      <c r="BC12" s="79" t="str">
        <f>K11</f>
        <v>公寓</v>
      </c>
      <c r="BD12" s="79" t="str">
        <f>M11</f>
        <v>商业街</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5" customHeight="1">
      <c r="A13" s="2723"/>
      <c r="B13" s="2723" t="s">
        <v>3049</v>
      </c>
      <c r="C13" s="2723"/>
      <c r="D13" s="2724" t="s">
        <v>1668</v>
      </c>
      <c r="E13" s="27">
        <f t="shared" ref="E13:E20" si="6">IF($C$3="是",ROUND($A$3*G13/$B$3,2),ROUND($A$3*(G13-AT13)/$B$3,2))</f>
        <v>19463.21</v>
      </c>
      <c r="F13" s="81"/>
      <c r="G13" s="82">
        <f t="shared" ref="G13:G20" si="7">H13+AC13+AT13</f>
        <v>204670.87</v>
      </c>
      <c r="H13" s="33">
        <f t="shared" ref="H13:H20" si="8">SUMIF(I$12:AB$12,"总值",I13:AB13)</f>
        <v>181123.76</v>
      </c>
      <c r="I13" s="2727">
        <f>规划面积!D21</f>
        <v>80592.510000000009</v>
      </c>
      <c r="J13" s="2727"/>
      <c r="K13" s="2727">
        <f>规划面积!D22</f>
        <v>39694.82</v>
      </c>
      <c r="L13" s="2727"/>
      <c r="M13" s="2727">
        <f>规划面积!D20</f>
        <v>16906.939999999999</v>
      </c>
      <c r="N13" s="83"/>
      <c r="O13" s="83">
        <f>规划面积!D23</f>
        <v>5513.06</v>
      </c>
      <c r="P13" s="83"/>
      <c r="Q13" s="83">
        <f>规划面积!D24</f>
        <v>38416.43</v>
      </c>
      <c r="R13" s="83"/>
      <c r="S13" s="83"/>
      <c r="T13" s="83"/>
      <c r="U13" s="83"/>
      <c r="V13" s="83"/>
      <c r="W13" s="83"/>
      <c r="X13" s="83"/>
      <c r="Y13" s="83"/>
      <c r="Z13" s="83"/>
      <c r="AA13" s="83"/>
      <c r="AB13" s="83"/>
      <c r="AC13" s="27">
        <f t="shared" ref="AC13:AC20" si="9">SUMIF(AD$12:AS$12,"总值",AD13:AS13)</f>
        <v>15966.109999999999</v>
      </c>
      <c r="AD13" s="2731"/>
      <c r="AE13" s="2731"/>
      <c r="AF13" s="2731"/>
      <c r="AG13" s="2731"/>
      <c r="AH13" s="2731"/>
      <c r="AI13" s="2731"/>
      <c r="AJ13" s="2731"/>
      <c r="AK13" s="2731"/>
      <c r="AL13" s="2731">
        <f>规划面积!D25+规划面积!D28</f>
        <v>15743.109999999999</v>
      </c>
      <c r="AM13" s="2731"/>
      <c r="AN13" s="2731">
        <v>223</v>
      </c>
      <c r="AO13" s="2731"/>
      <c r="AP13" s="2731"/>
      <c r="AQ13" s="2731"/>
      <c r="AR13" s="2731"/>
      <c r="AS13" s="2731"/>
      <c r="AT13" s="2732">
        <f>规划面积!D26</f>
        <v>7581</v>
      </c>
      <c r="AU13" s="2733"/>
      <c r="AV13" s="17">
        <f t="shared" ref="AV13:AX20" si="10">A13</f>
        <v>0</v>
      </c>
      <c r="AW13" s="17" t="str">
        <f t="shared" si="10"/>
        <v>合同建筑面积</v>
      </c>
      <c r="AX13" s="17">
        <f t="shared" si="10"/>
        <v>0</v>
      </c>
      <c r="AY13" s="982">
        <f t="shared" ref="AY13:AY20" si="11">ROUND($AY$6*AZ13/$AZ$5,2)</f>
        <v>19463.21</v>
      </c>
      <c r="AZ13" s="27">
        <f t="shared" ref="AZ13:AZ20" si="12">BA13+BL13</f>
        <v>197089.87</v>
      </c>
      <c r="BA13" s="27">
        <f t="shared" ref="BA13:BA20" si="13">SUM(BB13:BK13)</f>
        <v>181123.76</v>
      </c>
      <c r="BB13" s="27">
        <f t="shared" ref="BB13:BB20" si="14">IF($D13="是",I13-J13,0)</f>
        <v>80592.510000000009</v>
      </c>
      <c r="BC13" s="27">
        <f t="shared" ref="BC13:BC20" si="15">IF($D13="是",K13-L13,0)</f>
        <v>39694.82</v>
      </c>
      <c r="BD13" s="27">
        <f t="shared" ref="BD13:BD20" si="16">IF($D13="是",M13-N13,0)</f>
        <v>16906.939999999999</v>
      </c>
      <c r="BE13" s="27">
        <f t="shared" ref="BE13:BE20" si="17">IF($D13="是",O13-P13,0)</f>
        <v>5513.06</v>
      </c>
      <c r="BF13" s="27">
        <f t="shared" ref="BF13:BF20" si="18">IF($D13="是",Q13-R13,0)</f>
        <v>38416.43</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15966.109999999999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15743.109999999999</v>
      </c>
      <c r="BR13" s="27">
        <f t="shared" ref="BR13:BR20" si="30">IF($D13="是",AN13-AO13,0)</f>
        <v>223</v>
      </c>
      <c r="BS13" s="27">
        <f t="shared" ref="BS13:BS20" si="31">IF($D13="是",AP13-AQ13,0)</f>
        <v>0</v>
      </c>
      <c r="BT13" s="36">
        <f t="shared" ref="BT13:BT20" si="32">IF($D13="是",AR13-AS13,0)</f>
        <v>0</v>
      </c>
    </row>
    <row r="14" spans="1:72" s="18" customFormat="1" ht="12.75">
      <c r="A14" s="2723"/>
      <c r="B14" s="2723">
        <v>138000</v>
      </c>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138000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f>B14/A3</f>
        <v>7.0903001097968943</v>
      </c>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7.0903001097968943</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8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5"/>
      <c r="AM18" s="92"/>
      <c r="AN18" s="1339"/>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5"/>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5"/>
      <c r="N22" s="91"/>
      <c r="O22" s="91"/>
      <c r="P22" s="91"/>
      <c r="Q22" s="91"/>
      <c r="R22" s="91"/>
      <c r="S22" s="91"/>
      <c r="T22" s="91"/>
      <c r="U22" s="91"/>
      <c r="V22" s="91"/>
      <c r="W22" s="91"/>
      <c r="X22" s="91"/>
      <c r="Y22" s="91"/>
      <c r="Z22" s="91"/>
      <c r="AA22" s="91"/>
      <c r="AB22" s="91"/>
      <c r="AC22" s="87">
        <f t="shared" si="36"/>
        <v>0</v>
      </c>
      <c r="AD22" s="1315"/>
      <c r="AE22" s="92"/>
      <c r="AF22" s="1342"/>
      <c r="AG22" s="92"/>
      <c r="AH22" s="92"/>
      <c r="AI22" s="92"/>
      <c r="AJ22" s="92"/>
      <c r="AK22" s="92"/>
      <c r="AL22" s="1315"/>
      <c r="AM22" s="92"/>
      <c r="AN22" s="1315"/>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5"/>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5"/>
      <c r="AM23" s="92"/>
      <c r="AN23" s="1315"/>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5"/>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5"/>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5"/>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2"/>
      <c r="AG114" s="92"/>
      <c r="AH114" s="92"/>
      <c r="AI114" s="92"/>
      <c r="AJ114" s="92"/>
      <c r="AK114" s="92"/>
      <c r="AL114" s="1315"/>
      <c r="AM114" s="92"/>
      <c r="AN114" s="1315"/>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5"/>
      <c r="AM115" s="92"/>
      <c r="AN115" s="1315"/>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5"/>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5"/>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2"/>
      <c r="AG206" s="92"/>
      <c r="AH206" s="92"/>
      <c r="AI206" s="92"/>
      <c r="AJ206" s="92"/>
      <c r="AK206" s="92"/>
      <c r="AL206" s="1315"/>
      <c r="AM206" s="92"/>
      <c r="AN206" s="1315"/>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5"/>
      <c r="AM207" s="92"/>
      <c r="AN207" s="1315"/>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5"/>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5"/>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2"/>
      <c r="AG298" s="92"/>
      <c r="AH298" s="92"/>
      <c r="AI298" s="92"/>
      <c r="AJ298" s="92"/>
      <c r="AK298" s="92"/>
      <c r="AL298" s="1315"/>
      <c r="AM298" s="92"/>
      <c r="AN298" s="1315"/>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5"/>
      <c r="AM299" s="92"/>
      <c r="AN299" s="1315"/>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5"/>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5"/>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2"/>
      <c r="AG390" s="92"/>
      <c r="AH390" s="92"/>
      <c r="AI390" s="92"/>
      <c r="AJ390" s="92"/>
      <c r="AK390" s="92"/>
      <c r="AL390" s="1315"/>
      <c r="AM390" s="92"/>
      <c r="AN390" s="1315"/>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5"/>
      <c r="AM391" s="92"/>
      <c r="AN391" s="1315"/>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5"/>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2"/>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L34"/>
  <sheetViews>
    <sheetView workbookViewId="0">
      <selection activeCell="D3" sqref="D3"/>
    </sheetView>
  </sheetViews>
  <sheetFormatPr defaultRowHeight="13.5"/>
  <cols>
    <col min="2" max="2" width="13" bestFit="1" customWidth="1"/>
    <col min="3" max="3" width="19.25" bestFit="1" customWidth="1"/>
    <col min="4" max="4" width="13.875" bestFit="1" customWidth="1"/>
    <col min="5" max="5" width="15" customWidth="1"/>
    <col min="6" max="6" width="12.75" bestFit="1" customWidth="1"/>
    <col min="7" max="7" width="12.375" customWidth="1"/>
    <col min="8" max="8" width="11.625" bestFit="1" customWidth="1"/>
    <col min="9" max="9" width="12.75" bestFit="1" customWidth="1"/>
    <col min="10" max="11" width="10.5" bestFit="1" customWidth="1"/>
    <col min="12" max="12" width="11.875" customWidth="1"/>
  </cols>
  <sheetData>
    <row r="1" spans="2:12" ht="21">
      <c r="F1" s="3549" t="s">
        <v>3012</v>
      </c>
      <c r="G1" s="3549"/>
      <c r="H1" s="3549"/>
      <c r="I1" s="3549"/>
      <c r="J1" s="3549"/>
      <c r="K1" s="3549"/>
    </row>
    <row r="2" spans="2:12">
      <c r="F2" s="3415" t="s">
        <v>3013</v>
      </c>
      <c r="G2" s="3287"/>
      <c r="H2" s="3287"/>
      <c r="I2" s="3287"/>
      <c r="J2" s="3287"/>
      <c r="K2" s="3288" t="s">
        <v>3014</v>
      </c>
    </row>
    <row r="3" spans="2:12">
      <c r="B3" s="3550" t="s">
        <v>3504</v>
      </c>
      <c r="C3" s="3550"/>
      <c r="D3" s="3416">
        <v>143508.95000000001</v>
      </c>
      <c r="E3">
        <f>D3-138000</f>
        <v>5508.9500000000116</v>
      </c>
      <c r="F3" s="3417" t="s">
        <v>3015</v>
      </c>
      <c r="G3" s="3290">
        <v>29.19</v>
      </c>
      <c r="H3" s="3291" t="s">
        <v>3016</v>
      </c>
      <c r="I3" s="3418">
        <v>19463.21</v>
      </c>
      <c r="J3" s="3291" t="s">
        <v>3017</v>
      </c>
      <c r="K3" s="3418">
        <f>I23</f>
        <v>204670.87000000002</v>
      </c>
    </row>
    <row r="4" spans="2:12">
      <c r="B4" s="3550" t="s">
        <v>3505</v>
      </c>
      <c r="C4" s="3419" t="s">
        <v>3506</v>
      </c>
      <c r="D4" s="3416">
        <v>16906.939999999999</v>
      </c>
      <c r="F4" s="3420" t="s">
        <v>2019</v>
      </c>
      <c r="G4" s="3421">
        <v>7.0903001097968943</v>
      </c>
      <c r="H4" s="3295" t="s">
        <v>3018</v>
      </c>
      <c r="I4" s="3422">
        <v>138000</v>
      </c>
      <c r="J4" s="3295" t="s">
        <v>3019</v>
      </c>
      <c r="K4" s="3297">
        <v>143596.35</v>
      </c>
    </row>
    <row r="5" spans="2:12">
      <c r="B5" s="3550"/>
      <c r="C5" s="3419" t="s">
        <v>3507</v>
      </c>
      <c r="D5" s="3419">
        <v>120287.33</v>
      </c>
      <c r="F5" s="3423" t="s">
        <v>3020</v>
      </c>
      <c r="G5" s="3424">
        <v>183488.57000000004</v>
      </c>
      <c r="H5" s="3300" t="s">
        <v>3021</v>
      </c>
      <c r="I5" s="3425">
        <f>I15</f>
        <v>49625.689999999995</v>
      </c>
      <c r="J5" s="3300" t="s">
        <v>3022</v>
      </c>
      <c r="K5" s="3302">
        <v>1320</v>
      </c>
    </row>
    <row r="6" spans="2:12">
      <c r="B6" s="3550"/>
      <c r="C6" s="3419" t="s">
        <v>3508</v>
      </c>
      <c r="D6" s="3426">
        <f>65.75+356.55</f>
        <v>422.3</v>
      </c>
      <c r="F6" s="3427"/>
      <c r="G6" s="3428"/>
      <c r="H6" s="3305"/>
      <c r="I6" s="3305"/>
      <c r="J6" s="3306"/>
      <c r="K6" s="3407"/>
    </row>
    <row r="7" spans="2:12">
      <c r="B7" s="3550"/>
      <c r="C7" s="3419" t="s">
        <v>3509</v>
      </c>
      <c r="D7" s="3429">
        <v>136.75</v>
      </c>
      <c r="F7" s="3406"/>
      <c r="G7" s="3407"/>
      <c r="H7" s="3309" t="s">
        <v>3023</v>
      </c>
      <c r="I7" s="3310" t="s">
        <v>2908</v>
      </c>
      <c r="J7" s="3311" t="s">
        <v>3024</v>
      </c>
      <c r="K7" s="3312" t="s">
        <v>3025</v>
      </c>
    </row>
    <row r="8" spans="2:12">
      <c r="B8" s="3550"/>
      <c r="C8" s="3419" t="s">
        <v>3510</v>
      </c>
      <c r="D8" s="3430">
        <v>100.94</v>
      </c>
      <c r="F8" s="3551" t="s">
        <v>3029</v>
      </c>
      <c r="G8" s="3339" t="s">
        <v>3030</v>
      </c>
      <c r="H8" s="3340">
        <v>1845</v>
      </c>
      <c r="I8" s="3431">
        <v>84733.21</v>
      </c>
      <c r="J8" s="3432">
        <f>'[3]2.指标表'!$O$13</f>
        <v>83777.130920947355</v>
      </c>
      <c r="K8" s="3433">
        <f>O17</f>
        <v>0</v>
      </c>
      <c r="L8" s="3434"/>
    </row>
    <row r="9" spans="2:12">
      <c r="B9" s="3550"/>
      <c r="C9" s="3419" t="s">
        <v>3511</v>
      </c>
      <c r="D9" s="3416">
        <v>141.63</v>
      </c>
      <c r="F9" s="3552"/>
      <c r="G9" s="3339" t="s">
        <v>3031</v>
      </c>
      <c r="H9" s="3344">
        <v>1442</v>
      </c>
      <c r="I9" s="3431">
        <v>41799.58</v>
      </c>
      <c r="J9" s="3432">
        <f>'[3]2.指标表'!$O$14</f>
        <v>41212.905743836513</v>
      </c>
      <c r="K9" s="3435">
        <f>O18</f>
        <v>0</v>
      </c>
      <c r="L9" s="3434">
        <f>ROUND(I9/(I8+I9),2)</f>
        <v>0.33</v>
      </c>
    </row>
    <row r="10" spans="2:12">
      <c r="B10" s="3550"/>
      <c r="C10" s="3419" t="s">
        <v>3512</v>
      </c>
      <c r="D10" s="3436">
        <v>5513.06</v>
      </c>
      <c r="F10" s="3552"/>
      <c r="G10" s="3346" t="s">
        <v>3032</v>
      </c>
      <c r="H10" s="3344">
        <f>4404+68.59</f>
        <v>4472.59</v>
      </c>
      <c r="I10" s="3431">
        <v>17048.57</v>
      </c>
      <c r="J10" s="3432">
        <f>'[3]2.指标表'!$O$15</f>
        <v>17143.213335216136</v>
      </c>
      <c r="K10" s="3435"/>
    </row>
    <row r="11" spans="2:12">
      <c r="B11" s="3550" t="s">
        <v>3513</v>
      </c>
      <c r="C11" s="3554"/>
      <c r="D11" s="3416">
        <f>SUM(D12:D16)</f>
        <v>61161.919999999998</v>
      </c>
      <c r="F11" s="3553"/>
      <c r="G11" s="3334" t="s">
        <v>27</v>
      </c>
      <c r="H11" s="3437">
        <f>SUM(H8:H10)</f>
        <v>7759.59</v>
      </c>
      <c r="I11" s="3437">
        <f>SUM(I8:I10)</f>
        <v>143581.36000000002</v>
      </c>
      <c r="J11" s="3437">
        <f>SUM(J8:J10)</f>
        <v>142133.25</v>
      </c>
      <c r="K11" s="3438"/>
    </row>
    <row r="12" spans="2:12">
      <c r="B12" s="3550" t="s">
        <v>3514</v>
      </c>
      <c r="C12" s="3439" t="s">
        <v>3515</v>
      </c>
      <c r="D12" s="3416">
        <v>4137.66</v>
      </c>
      <c r="F12" s="3551" t="s">
        <v>3033</v>
      </c>
      <c r="G12" s="3348" t="s">
        <v>3516</v>
      </c>
      <c r="H12" s="3440"/>
      <c r="I12" s="3441">
        <v>5513.06</v>
      </c>
      <c r="J12" s="3442">
        <f>'[3]2.指标表'!$O$22</f>
        <v>5513.06</v>
      </c>
      <c r="K12" s="3443"/>
    </row>
    <row r="13" spans="2:12">
      <c r="B13" s="3550"/>
      <c r="C13" s="3439" t="s">
        <v>3517</v>
      </c>
      <c r="D13" s="3444">
        <v>1119.32</v>
      </c>
      <c r="F13" s="3552"/>
      <c r="G13" s="3348" t="s">
        <v>3035</v>
      </c>
      <c r="H13" s="3445"/>
      <c r="I13" s="3446">
        <v>36531.629999999997</v>
      </c>
      <c r="J13" s="3447">
        <v>36257.159999999996</v>
      </c>
      <c r="K13" s="3353" t="s">
        <v>3542</v>
      </c>
    </row>
    <row r="14" spans="2:12">
      <c r="B14" s="3550"/>
      <c r="C14" s="3439" t="s">
        <v>3518</v>
      </c>
      <c r="D14" s="3444">
        <v>8218.61</v>
      </c>
      <c r="F14" s="3552"/>
      <c r="G14" s="3348" t="s">
        <v>3037</v>
      </c>
      <c r="H14" s="3448"/>
      <c r="I14" s="3449">
        <v>7581</v>
      </c>
      <c r="J14" s="3450">
        <v>7581</v>
      </c>
      <c r="K14" s="3358" t="s">
        <v>3038</v>
      </c>
    </row>
    <row r="15" spans="2:12">
      <c r="B15" s="3550"/>
      <c r="C15" s="3439" t="s">
        <v>3519</v>
      </c>
      <c r="D15" s="3444">
        <v>1465.9</v>
      </c>
      <c r="F15" s="3553"/>
      <c r="G15" s="3334" t="s">
        <v>27</v>
      </c>
      <c r="H15" s="3451">
        <f>SUM(H12:H13)</f>
        <v>0</v>
      </c>
      <c r="I15" s="3437">
        <f>SUM(I12:I14)</f>
        <v>49625.689999999995</v>
      </c>
      <c r="J15" s="3437">
        <f>SUM(J12:J14)</f>
        <v>49351.219999999994</v>
      </c>
      <c r="K15" s="3438">
        <f>SUM(K12:K13)</f>
        <v>0</v>
      </c>
    </row>
    <row r="16" spans="2:12">
      <c r="B16" s="3550"/>
      <c r="C16" s="3439" t="s">
        <v>3520</v>
      </c>
      <c r="D16" s="3416">
        <v>46220.43</v>
      </c>
      <c r="F16" s="3551" t="s">
        <v>3039</v>
      </c>
      <c r="G16" s="3359" t="s">
        <v>3040</v>
      </c>
      <c r="H16" s="3440"/>
      <c r="I16" s="3452">
        <v>10803.83</v>
      </c>
      <c r="J16" s="3442">
        <v>11004.57</v>
      </c>
      <c r="K16" s="3443"/>
    </row>
    <row r="17" spans="2:11">
      <c r="D17">
        <f>D11+D3</f>
        <v>204670.87</v>
      </c>
      <c r="F17" s="3552"/>
      <c r="G17" s="3359" t="s">
        <v>3041</v>
      </c>
      <c r="H17" s="3445"/>
      <c r="I17" s="3453">
        <v>136.75</v>
      </c>
      <c r="J17" s="3447">
        <v>136.75</v>
      </c>
      <c r="K17" s="3454"/>
    </row>
    <row r="18" spans="2:11">
      <c r="F18" s="3552"/>
      <c r="G18" s="3359" t="s">
        <v>3042</v>
      </c>
      <c r="H18" s="3455"/>
      <c r="I18" s="3456">
        <v>422.3</v>
      </c>
      <c r="J18" s="3457">
        <v>422.3</v>
      </c>
      <c r="K18" s="3458"/>
    </row>
    <row r="19" spans="2:11">
      <c r="B19" s="3245" t="s">
        <v>3521</v>
      </c>
      <c r="F19" s="3552"/>
      <c r="G19" s="3360" t="s">
        <v>3043</v>
      </c>
      <c r="H19" s="3455"/>
      <c r="I19" s="3459">
        <v>100.94</v>
      </c>
      <c r="J19" s="3457">
        <v>100.94</v>
      </c>
      <c r="K19" s="3458"/>
    </row>
    <row r="20" spans="2:11">
      <c r="C20" s="3245" t="s">
        <v>3522</v>
      </c>
      <c r="D20">
        <f>D4</f>
        <v>16906.939999999999</v>
      </c>
      <c r="F20" s="3552"/>
      <c r="G20" s="3361"/>
      <c r="H20" s="3455"/>
      <c r="I20" s="3460"/>
      <c r="J20" s="3457"/>
      <c r="K20" s="3458"/>
    </row>
    <row r="21" spans="2:11">
      <c r="C21" s="3245" t="s">
        <v>3523</v>
      </c>
      <c r="D21" s="3461">
        <f>D5-D22</f>
        <v>80592.510000000009</v>
      </c>
      <c r="F21" s="3553"/>
      <c r="G21" s="3334" t="s">
        <v>27</v>
      </c>
      <c r="H21" s="3451">
        <f>SUM(H16:H18)</f>
        <v>0</v>
      </c>
      <c r="I21" s="3437">
        <f>SUM(I16:I20)</f>
        <v>11463.82</v>
      </c>
      <c r="J21" s="3437">
        <f>SUM(J16:J20)</f>
        <v>11664.56</v>
      </c>
      <c r="K21" s="3438">
        <f>SUM(K16:K18)</f>
        <v>0</v>
      </c>
    </row>
    <row r="22" spans="2:11">
      <c r="C22" s="3245" t="s">
        <v>3524</v>
      </c>
      <c r="D22">
        <f>ROUND(D5*L9,2)</f>
        <v>39694.82</v>
      </c>
      <c r="F22" s="3362"/>
      <c r="G22" s="3407"/>
      <c r="H22" s="3462"/>
      <c r="I22" s="3463"/>
      <c r="J22" s="3464"/>
      <c r="K22" s="3465"/>
    </row>
    <row r="23" spans="2:11">
      <c r="C23" s="3245" t="s">
        <v>3512</v>
      </c>
      <c r="D23">
        <f>D10</f>
        <v>5513.06</v>
      </c>
      <c r="F23" s="3547" t="s">
        <v>24</v>
      </c>
      <c r="G23" s="3548"/>
      <c r="H23" s="3462">
        <f>H11+H21</f>
        <v>7759.59</v>
      </c>
      <c r="I23" s="3466">
        <f>I11+I21+I15</f>
        <v>204670.87000000002</v>
      </c>
      <c r="J23" s="3467">
        <f>J11+J21+J15</f>
        <v>203149.03</v>
      </c>
      <c r="K23" s="3468">
        <f>K11+K15</f>
        <v>0</v>
      </c>
    </row>
    <row r="24" spans="2:11">
      <c r="C24" s="3245" t="s">
        <v>3525</v>
      </c>
      <c r="D24" s="3434">
        <f>D16-D26-223</f>
        <v>38416.43</v>
      </c>
      <c r="E24" s="3434"/>
    </row>
    <row r="25" spans="2:11">
      <c r="C25" s="3245" t="s">
        <v>3526</v>
      </c>
      <c r="D25">
        <f>D7+D8+D9+D12+D13+D15+D14</f>
        <v>15320.81</v>
      </c>
    </row>
    <row r="26" spans="2:11">
      <c r="C26" s="3245" t="s">
        <v>3527</v>
      </c>
      <c r="D26" s="3434">
        <f>I14</f>
        <v>7581</v>
      </c>
      <c r="G26" s="3434"/>
      <c r="I26" s="3434"/>
    </row>
    <row r="27" spans="2:11">
      <c r="C27" s="3245" t="s">
        <v>3528</v>
      </c>
      <c r="D27" s="3434">
        <v>223</v>
      </c>
      <c r="G27" s="3434"/>
      <c r="I27" s="3434"/>
    </row>
    <row r="28" spans="2:11">
      <c r="C28" s="3245" t="s">
        <v>3529</v>
      </c>
      <c r="D28">
        <f>D6</f>
        <v>422.3</v>
      </c>
      <c r="F28" s="3434"/>
      <c r="G28" s="3434"/>
    </row>
    <row r="29" spans="2:11">
      <c r="D29">
        <f>SUM(D20:D28)</f>
        <v>204670.87</v>
      </c>
      <c r="H29" s="3434"/>
      <c r="I29" s="3434"/>
    </row>
    <row r="30" spans="2:11">
      <c r="G30" s="3434"/>
    </row>
    <row r="33" spans="3:4">
      <c r="C33">
        <f>D4+D5</f>
        <v>137194.26999999999</v>
      </c>
      <c r="D33" s="3434"/>
    </row>
    <row r="34" spans="3:4">
      <c r="C34">
        <f>C33/'数据-基础表'!A3</f>
        <v>7.048902519163077</v>
      </c>
    </row>
  </sheetData>
  <mergeCells count="9">
    <mergeCell ref="F23:G23"/>
    <mergeCell ref="F1:K1"/>
    <mergeCell ref="B3:C3"/>
    <mergeCell ref="B4:B10"/>
    <mergeCell ref="F8:F11"/>
    <mergeCell ref="B11:C11"/>
    <mergeCell ref="B12:B16"/>
    <mergeCell ref="F12:F15"/>
    <mergeCell ref="F16:F21"/>
  </mergeCells>
  <phoneticPr fontId="228" type="noConversion"/>
  <dataValidations count="1">
    <dataValidation allowBlank="1" showInputMessage="1" showErrorMessage="1" promptTitle="不含代征地" prompt=" " sqref="I3:I4" xr:uid="{00000000-0002-0000-0C00-000000000000}"/>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1"/>
  <sheetViews>
    <sheetView showZeros="0" workbookViewId="0">
      <pane xSplit="2" ySplit="7" topLeftCell="C16" activePane="bottomRight" state="frozen"/>
      <selection pane="topRight"/>
      <selection pane="bottomLeft"/>
      <selection pane="bottomRight" activeCell="D22" sqref="D22"/>
    </sheetView>
  </sheetViews>
  <sheetFormatPr defaultColWidth="10.125" defaultRowHeight="12"/>
  <cols>
    <col min="1" max="1" width="10.125" style="3285"/>
    <col min="2" max="2" width="17.375" style="3285" customWidth="1"/>
    <col min="3" max="3" width="17.75" style="3285" customWidth="1"/>
    <col min="4" max="4" width="17" style="3285" customWidth="1"/>
    <col min="5" max="5" width="17.25" style="3285" customWidth="1"/>
    <col min="6" max="6" width="17.75" style="3285" customWidth="1"/>
    <col min="7" max="7" width="10.75" style="3284" customWidth="1"/>
    <col min="8" max="8" width="2.25" style="3285" customWidth="1"/>
    <col min="9" max="9" width="10.125" style="3285" customWidth="1"/>
    <col min="10" max="10" width="10.5" style="3285" bestFit="1" customWidth="1"/>
    <col min="11" max="16384" width="10.125" style="3285"/>
  </cols>
  <sheetData>
    <row r="1" spans="1:10" ht="30" customHeight="1">
      <c r="A1" s="3549" t="s">
        <v>3012</v>
      </c>
      <c r="B1" s="3549"/>
      <c r="C1" s="3549"/>
      <c r="D1" s="3549"/>
      <c r="E1" s="3549"/>
      <c r="F1" s="3549"/>
    </row>
    <row r="2" spans="1:10" ht="20.100000000000001" customHeight="1">
      <c r="A2" s="3286" t="s">
        <v>3013</v>
      </c>
      <c r="B2" s="3287"/>
      <c r="C2" s="3287"/>
      <c r="D2" s="3287"/>
      <c r="E2" s="3287"/>
      <c r="F2" s="3288" t="s">
        <v>3014</v>
      </c>
    </row>
    <row r="3" spans="1:10">
      <c r="A3" s="3289" t="s">
        <v>3015</v>
      </c>
      <c r="B3" s="3290">
        <v>29.19</v>
      </c>
      <c r="C3" s="3291" t="s">
        <v>3016</v>
      </c>
      <c r="D3" s="3292">
        <v>19463.21</v>
      </c>
      <c r="E3" s="3291" t="s">
        <v>3017</v>
      </c>
      <c r="F3" s="3292">
        <f>D32</f>
        <v>204670.87000000002</v>
      </c>
    </row>
    <row r="4" spans="1:10">
      <c r="A4" s="3293" t="s">
        <v>2019</v>
      </c>
      <c r="B4" s="3294">
        <v>7.0903001097968943</v>
      </c>
      <c r="C4" s="3295" t="s">
        <v>3018</v>
      </c>
      <c r="D4" s="3296">
        <v>138000</v>
      </c>
      <c r="E4" s="3295" t="s">
        <v>3019</v>
      </c>
      <c r="F4" s="3297">
        <v>143596.35</v>
      </c>
    </row>
    <row r="5" spans="1:10">
      <c r="A5" s="3298" t="s">
        <v>3020</v>
      </c>
      <c r="B5" s="3299">
        <v>183488.57000000004</v>
      </c>
      <c r="C5" s="3300" t="s">
        <v>3021</v>
      </c>
      <c r="D5" s="3301">
        <f>D24</f>
        <v>49625.689999999995</v>
      </c>
      <c r="E5" s="3300" t="s">
        <v>3022</v>
      </c>
      <c r="F5" s="3302">
        <v>1320</v>
      </c>
    </row>
    <row r="6" spans="1:10" ht="20.100000000000001" customHeight="1">
      <c r="A6" s="3303"/>
      <c r="B6" s="3304"/>
      <c r="C6" s="3305"/>
      <c r="D6" s="3305"/>
      <c r="E6" s="3306"/>
      <c r="F6" s="3307"/>
    </row>
    <row r="7" spans="1:10" ht="20.100000000000001" customHeight="1">
      <c r="A7" s="3308"/>
      <c r="B7" s="3307"/>
      <c r="C7" s="3309" t="s">
        <v>3023</v>
      </c>
      <c r="D7" s="3310" t="s">
        <v>2908</v>
      </c>
      <c r="E7" s="3311" t="s">
        <v>3024</v>
      </c>
      <c r="F7" s="3312" t="s">
        <v>3025</v>
      </c>
      <c r="J7" s="3285" t="s">
        <v>3026</v>
      </c>
    </row>
    <row r="8" spans="1:10" hidden="1">
      <c r="A8" s="3551" t="s">
        <v>913</v>
      </c>
      <c r="B8" s="3313" t="s">
        <v>3027</v>
      </c>
      <c r="C8" s="3314"/>
      <c r="D8" s="3314"/>
      <c r="E8" s="3314"/>
      <c r="F8" s="3315"/>
    </row>
    <row r="9" spans="1:10" ht="13.15" hidden="1" customHeight="1">
      <c r="A9" s="3552"/>
      <c r="B9" s="3313" t="s">
        <v>3028</v>
      </c>
      <c r="C9" s="3316"/>
      <c r="D9" s="3314"/>
      <c r="E9" s="3314"/>
      <c r="F9" s="3315"/>
      <c r="J9" s="3317"/>
    </row>
    <row r="10" spans="1:10" ht="13.15" hidden="1" customHeight="1">
      <c r="A10" s="3552"/>
      <c r="B10" s="3318"/>
      <c r="C10" s="3319"/>
      <c r="D10" s="3320"/>
      <c r="E10" s="3321"/>
      <c r="F10" s="3315"/>
      <c r="J10" s="3322"/>
    </row>
    <row r="11" spans="1:10" ht="13.15" hidden="1" customHeight="1">
      <c r="A11" s="3552"/>
      <c r="B11" s="3318"/>
      <c r="C11" s="3319"/>
      <c r="D11" s="3320"/>
      <c r="E11" s="3321">
        <v>0</v>
      </c>
      <c r="F11" s="3315"/>
      <c r="J11" s="3322"/>
    </row>
    <row r="12" spans="1:10" ht="13.15" hidden="1" customHeight="1">
      <c r="A12" s="3552"/>
      <c r="B12" s="3318"/>
      <c r="C12" s="3319"/>
      <c r="D12" s="3320"/>
      <c r="E12" s="3321">
        <v>0</v>
      </c>
      <c r="F12" s="3315"/>
      <c r="J12" s="3322"/>
    </row>
    <row r="13" spans="1:10" ht="13.15" hidden="1" customHeight="1">
      <c r="A13" s="3552"/>
      <c r="B13" s="3318"/>
      <c r="C13" s="3319"/>
      <c r="D13" s="3320"/>
      <c r="E13" s="3321">
        <v>0</v>
      </c>
      <c r="F13" s="3315"/>
      <c r="J13" s="3323"/>
    </row>
    <row r="14" spans="1:10" ht="13.15" hidden="1" customHeight="1">
      <c r="A14" s="3552"/>
      <c r="B14" s="3324"/>
      <c r="C14" s="3325"/>
      <c r="D14" s="3326"/>
      <c r="E14" s="3327">
        <v>0</v>
      </c>
      <c r="F14" s="3328"/>
      <c r="J14" s="3322"/>
    </row>
    <row r="15" spans="1:10" ht="13.15" hidden="1" customHeight="1">
      <c r="A15" s="3552"/>
      <c r="B15" s="3329"/>
      <c r="C15" s="3330"/>
      <c r="D15" s="3331"/>
      <c r="E15" s="3332">
        <v>0</v>
      </c>
      <c r="F15" s="3333"/>
      <c r="J15" s="3322"/>
    </row>
    <row r="16" spans="1:10">
      <c r="A16" s="3553"/>
      <c r="B16" s="3334" t="s">
        <v>27</v>
      </c>
      <c r="C16" s="3335">
        <f>SUM(C8:C15)</f>
        <v>0</v>
      </c>
      <c r="D16" s="3336">
        <f>SUM(D8:D15)</f>
        <v>0</v>
      </c>
      <c r="E16" s="3337">
        <f>SUM(E8:E15)</f>
        <v>0</v>
      </c>
      <c r="F16" s="3338"/>
      <c r="J16" s="3317"/>
    </row>
    <row r="17" spans="1:12" ht="16.899999999999999" customHeight="1">
      <c r="A17" s="3551" t="s">
        <v>3029</v>
      </c>
      <c r="B17" s="3339" t="s">
        <v>3030</v>
      </c>
      <c r="C17" s="3340">
        <v>1845</v>
      </c>
      <c r="D17" s="3319">
        <v>84733.21</v>
      </c>
      <c r="E17" s="3341">
        <f>'[3]2.指标表'!$O$13</f>
        <v>83777.130920947355</v>
      </c>
      <c r="F17" s="3342">
        <f>J17</f>
        <v>0</v>
      </c>
      <c r="I17" s="3404">
        <f>E17/G20</f>
        <v>0.67027047240279503</v>
      </c>
      <c r="J17" s="3404"/>
      <c r="K17" s="3343">
        <f>E17+J17</f>
        <v>83777.130920947355</v>
      </c>
    </row>
    <row r="18" spans="1:12" ht="16.899999999999999" customHeight="1">
      <c r="A18" s="3552"/>
      <c r="B18" s="3339" t="s">
        <v>3031</v>
      </c>
      <c r="C18" s="3344">
        <v>1442</v>
      </c>
      <c r="D18" s="3319">
        <v>41799.58</v>
      </c>
      <c r="E18" s="3341">
        <f>'[3]2.指标表'!$O$14</f>
        <v>41212.905743836513</v>
      </c>
      <c r="F18" s="3345">
        <f>J18</f>
        <v>0</v>
      </c>
      <c r="G18" s="3284">
        <v>39829.713263510697</v>
      </c>
      <c r="I18" s="3404">
        <f>E18/G20</f>
        <v>0.32972952759720497</v>
      </c>
      <c r="J18" s="3404"/>
      <c r="K18" s="3343">
        <f>E18+J18</f>
        <v>41212.905743836513</v>
      </c>
    </row>
    <row r="19" spans="1:12" ht="16.899999999999999" customHeight="1">
      <c r="A19" s="3552"/>
      <c r="B19" s="3346" t="s">
        <v>3032</v>
      </c>
      <c r="C19" s="3344">
        <f>4404+68.59</f>
        <v>4472.59</v>
      </c>
      <c r="D19" s="3319">
        <v>17048.57</v>
      </c>
      <c r="E19" s="3341">
        <f>'[3]2.指标表'!$O$15</f>
        <v>17143.213335216136</v>
      </c>
      <c r="F19" s="3345"/>
      <c r="G19" s="3284">
        <v>17474.801202201401</v>
      </c>
    </row>
    <row r="20" spans="1:12" ht="20.100000000000001" customHeight="1">
      <c r="A20" s="3553"/>
      <c r="B20" s="3334" t="s">
        <v>27</v>
      </c>
      <c r="C20" s="3336">
        <f>SUM(C17:C19)</f>
        <v>7759.59</v>
      </c>
      <c r="D20" s="3336">
        <f>SUM(D17:D19)</f>
        <v>143581.36000000002</v>
      </c>
      <c r="E20" s="3336">
        <f>SUM(E17:E19)</f>
        <v>142133.25</v>
      </c>
      <c r="F20" s="3347"/>
      <c r="G20" s="3284">
        <f>E17+E18</f>
        <v>124990.03666478387</v>
      </c>
    </row>
    <row r="21" spans="1:12" ht="20.100000000000001" customHeight="1">
      <c r="A21" s="3551" t="s">
        <v>3033</v>
      </c>
      <c r="B21" s="3348" t="s">
        <v>3034</v>
      </c>
      <c r="C21" s="3349"/>
      <c r="D21" s="3350">
        <v>5513.06</v>
      </c>
      <c r="E21" s="3351">
        <f>'[3]2.指标表'!$O$22</f>
        <v>5513.06</v>
      </c>
      <c r="F21" s="3352"/>
      <c r="L21" s="3285">
        <v>7759.59</v>
      </c>
    </row>
    <row r="22" spans="1:12" ht="20.100000000000001" customHeight="1">
      <c r="A22" s="3552"/>
      <c r="B22" s="3348" t="s">
        <v>3035</v>
      </c>
      <c r="C22" s="3325"/>
      <c r="D22" s="3326">
        <v>36531.629999999997</v>
      </c>
      <c r="E22" s="3327">
        <v>36257.159999999996</v>
      </c>
      <c r="F22" s="3353" t="s">
        <v>3036</v>
      </c>
      <c r="L22" s="3354">
        <f>L21-C20</f>
        <v>0</v>
      </c>
    </row>
    <row r="23" spans="1:12" ht="20.100000000000001" customHeight="1">
      <c r="A23" s="3552"/>
      <c r="B23" s="3348" t="s">
        <v>3037</v>
      </c>
      <c r="C23" s="3355"/>
      <c r="D23" s="3356">
        <v>7581</v>
      </c>
      <c r="E23" s="3357">
        <v>7581</v>
      </c>
      <c r="F23" s="3358" t="s">
        <v>3038</v>
      </c>
    </row>
    <row r="24" spans="1:12" ht="20.100000000000001" customHeight="1">
      <c r="A24" s="3553"/>
      <c r="B24" s="3334" t="s">
        <v>27</v>
      </c>
      <c r="C24" s="3335">
        <f>SUM(C21:C22)</f>
        <v>0</v>
      </c>
      <c r="D24" s="3336">
        <f>SUM(D21:D23)</f>
        <v>49625.689999999995</v>
      </c>
      <c r="E24" s="3336">
        <f>SUM(E21:E23)</f>
        <v>49351.219999999994</v>
      </c>
      <c r="F24" s="3347">
        <f>SUM(F21:F22)</f>
        <v>0</v>
      </c>
    </row>
    <row r="25" spans="1:12" ht="20.100000000000001" customHeight="1">
      <c r="A25" s="3551" t="s">
        <v>3039</v>
      </c>
      <c r="B25" s="3359" t="s">
        <v>3040</v>
      </c>
      <c r="C25" s="3349"/>
      <c r="D25" s="3350">
        <v>10803.83</v>
      </c>
      <c r="E25" s="3351">
        <v>11004.57</v>
      </c>
      <c r="F25" s="3352"/>
    </row>
    <row r="26" spans="1:12" ht="20.100000000000001" customHeight="1">
      <c r="A26" s="3552"/>
      <c r="B26" s="3359" t="s">
        <v>3041</v>
      </c>
      <c r="C26" s="3325"/>
      <c r="D26" s="3326">
        <v>136.75</v>
      </c>
      <c r="E26" s="3327">
        <v>136.75</v>
      </c>
      <c r="F26" s="3328"/>
    </row>
    <row r="27" spans="1:12" ht="20.100000000000001" customHeight="1">
      <c r="A27" s="3552"/>
      <c r="B27" s="3359" t="s">
        <v>3042</v>
      </c>
      <c r="C27" s="3330"/>
      <c r="D27" s="3331">
        <v>422.3</v>
      </c>
      <c r="E27" s="3332">
        <v>422.3</v>
      </c>
      <c r="F27" s="3333"/>
      <c r="J27" s="3354">
        <f>G18+E17+G19+E27+E26+E28</f>
        <v>141741.63538665944</v>
      </c>
    </row>
    <row r="28" spans="1:12" ht="20.100000000000001" customHeight="1">
      <c r="A28" s="3552"/>
      <c r="B28" s="3360" t="s">
        <v>3043</v>
      </c>
      <c r="C28" s="3330"/>
      <c r="D28" s="3331">
        <v>100.94</v>
      </c>
      <c r="E28" s="3332">
        <v>100.94</v>
      </c>
      <c r="F28" s="3333"/>
    </row>
    <row r="29" spans="1:12" ht="20.100000000000001" customHeight="1">
      <c r="A29" s="3552"/>
      <c r="B29" s="3361"/>
      <c r="C29" s="3330"/>
      <c r="D29" s="3331"/>
      <c r="E29" s="3332"/>
      <c r="F29" s="3333"/>
    </row>
    <row r="30" spans="1:12" ht="20.100000000000001" customHeight="1">
      <c r="A30" s="3553"/>
      <c r="B30" s="3334" t="s">
        <v>27</v>
      </c>
      <c r="C30" s="3335">
        <f>SUM(C25:C27)</f>
        <v>0</v>
      </c>
      <c r="D30" s="3336">
        <f>SUM(D25:D29)</f>
        <v>11463.82</v>
      </c>
      <c r="E30" s="3336">
        <f>SUM(E25:E29)</f>
        <v>11664.56</v>
      </c>
      <c r="F30" s="3347">
        <f>SUM(F25:F27)</f>
        <v>0</v>
      </c>
    </row>
    <row r="31" spans="1:12" ht="20.100000000000001" customHeight="1">
      <c r="A31" s="3362"/>
      <c r="B31" s="3307"/>
      <c r="C31" s="3363"/>
      <c r="D31" s="3364"/>
      <c r="E31" s="3365"/>
      <c r="F31" s="3366"/>
    </row>
    <row r="32" spans="1:12" ht="20.100000000000001" customHeight="1">
      <c r="A32" s="3547" t="s">
        <v>24</v>
      </c>
      <c r="B32" s="3548"/>
      <c r="C32" s="3363">
        <f>C16+C20+C30</f>
        <v>7759.59</v>
      </c>
      <c r="D32" s="3367">
        <f>D16+D20+D30+D24</f>
        <v>204670.87000000002</v>
      </c>
      <c r="E32" s="3367">
        <f>E16+E20+E30+E24</f>
        <v>203149.03</v>
      </c>
      <c r="F32" s="3368">
        <f>F16+F20+F24</f>
        <v>0</v>
      </c>
    </row>
    <row r="33" spans="1:6" ht="20.100000000000001" customHeight="1">
      <c r="A33" s="3555" t="s">
        <v>3044</v>
      </c>
      <c r="B33" s="3555"/>
      <c r="C33" s="3555"/>
      <c r="D33" s="3555"/>
      <c r="E33" s="3555"/>
      <c r="F33" s="3555"/>
    </row>
    <row r="34" spans="1:6" ht="20.100000000000001" customHeight="1">
      <c r="A34" s="3555"/>
      <c r="B34" s="3555"/>
      <c r="C34" s="3555"/>
      <c r="D34" s="3555"/>
      <c r="E34" s="3555"/>
      <c r="F34" s="3555"/>
    </row>
    <row r="35" spans="1:6" ht="20.100000000000001" customHeight="1">
      <c r="A35" s="3555"/>
      <c r="B35" s="3555"/>
      <c r="C35" s="3555"/>
      <c r="D35" s="3555"/>
      <c r="E35" s="3555"/>
      <c r="F35" s="3555"/>
    </row>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20.100000000000001" customHeight="1"/>
    <row r="50" ht="20.100000000000001" customHeight="1"/>
    <row r="51" ht="20.100000000000001" customHeight="1"/>
  </sheetData>
  <mergeCells count="7">
    <mergeCell ref="A33:F35"/>
    <mergeCell ref="A1:F1"/>
    <mergeCell ref="A8:A16"/>
    <mergeCell ref="A17:A20"/>
    <mergeCell ref="A21:A24"/>
    <mergeCell ref="A25:A30"/>
    <mergeCell ref="A32:B32"/>
  </mergeCells>
  <phoneticPr fontId="228" type="noConversion"/>
  <dataValidations count="1">
    <dataValidation allowBlank="1" showInputMessage="1" showErrorMessage="1" promptTitle="不含代征地" prompt=" " sqref="D3:D4" xr:uid="{00000000-0002-0000-0D00-000000000000}"/>
  </dataValidations>
  <printOptions horizontalCentered="1"/>
  <pageMargins left="0" right="0" top="0.78680555555555598" bottom="0.78680555555555598" header="0.31388888888888899" footer="0.39305555555555599"/>
  <pageSetup paperSize="9" scale="85" fitToWidth="0" fitToHeight="0"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4"/>
  <sheetViews>
    <sheetView view="pageBreakPreview" topLeftCell="A2" zoomScale="90" zoomScaleNormal="70" zoomScaleSheetLayoutView="90" workbookViewId="0">
      <selection activeCell="H35" sqref="H35"/>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565" t="s">
        <v>203</v>
      </c>
      <c r="B2" s="3565"/>
      <c r="C2" s="3565"/>
      <c r="D2" s="1885" t="s">
        <v>204</v>
      </c>
      <c r="E2" s="106" t="s">
        <v>205</v>
      </c>
      <c r="F2" s="3079"/>
      <c r="G2" s="1179"/>
      <c r="H2" s="1180"/>
      <c r="I2" s="1181" t="s">
        <v>848</v>
      </c>
      <c r="J2" s="3079"/>
      <c r="K2" s="3079"/>
      <c r="L2" s="3079"/>
      <c r="M2" s="3079"/>
      <c r="N2" s="3079"/>
      <c r="O2" s="3079"/>
      <c r="P2" s="3079"/>
    </row>
    <row r="3" spans="1:16" ht="15.75" thickBot="1">
      <c r="A3" s="3566" t="s">
        <v>206</v>
      </c>
      <c r="B3" s="3566"/>
      <c r="C3" s="3566"/>
      <c r="D3" s="107">
        <f>'数据-基础表'!AY6</f>
        <v>19463.21</v>
      </c>
      <c r="E3" s="107">
        <f>'数据-基础表'!AZ5</f>
        <v>197089.87</v>
      </c>
      <c r="F3" s="3079"/>
      <c r="G3" s="278" t="s">
        <v>849</v>
      </c>
      <c r="H3" s="273" t="s">
        <v>850</v>
      </c>
      <c r="I3" s="1886">
        <f>ROUND('数据-基础表'!B3/'数据-基础表'!A3,2)</f>
        <v>10.130000000000001</v>
      </c>
      <c r="J3" s="3079"/>
      <c r="K3" s="3079"/>
      <c r="L3" s="3079"/>
      <c r="M3" s="3079"/>
      <c r="N3" s="3079"/>
      <c r="O3" s="3079"/>
      <c r="P3" s="3079"/>
    </row>
    <row r="4" spans="1:16" ht="15">
      <c r="A4" s="3567"/>
      <c r="B4" s="3568"/>
      <c r="C4" s="3569"/>
      <c r="D4" s="108" t="s">
        <v>204</v>
      </c>
      <c r="E4" s="109" t="s">
        <v>205</v>
      </c>
      <c r="F4" s="3079"/>
      <c r="G4" s="1182"/>
      <c r="H4" s="273" t="s">
        <v>851</v>
      </c>
      <c r="I4" s="1886">
        <f>ROUND(SUMIF('数据-基础表'!I9:AS9,"地上",'数据-基础表'!I5:AS5)/'数据-基础表'!A3,2)</f>
        <v>7.86</v>
      </c>
      <c r="J4" s="3079"/>
      <c r="K4" s="3079"/>
      <c r="L4" s="3079"/>
      <c r="M4" s="3079"/>
      <c r="N4" s="3079"/>
      <c r="O4" s="3079"/>
      <c r="P4" s="3079"/>
    </row>
    <row r="5" spans="1:16">
      <c r="A5" s="110" t="s">
        <v>207</v>
      </c>
      <c r="B5" s="3570" t="s">
        <v>230</v>
      </c>
      <c r="C5" s="3570"/>
      <c r="D5" s="111">
        <f>ROUND($D$3*E5/$E$3,2)</f>
        <v>0</v>
      </c>
      <c r="E5" s="112">
        <f>SUMIF('数据-基础表'!$11:$11,"住宅",'数据-基础表'!$5:$5)</f>
        <v>0</v>
      </c>
      <c r="F5" s="3079"/>
      <c r="G5" s="278" t="s">
        <v>852</v>
      </c>
      <c r="H5" s="273" t="s">
        <v>850</v>
      </c>
      <c r="I5" s="1886">
        <f>ROUND(E31/D31,2)</f>
        <v>10.130000000000001</v>
      </c>
      <c r="J5" s="3079"/>
      <c r="K5" s="3079"/>
      <c r="L5" s="3079"/>
      <c r="M5" s="3079"/>
      <c r="N5" s="3079"/>
      <c r="O5" s="3079"/>
      <c r="P5" s="3079"/>
    </row>
    <row r="6" spans="1:16" ht="15" thickBot="1">
      <c r="A6" s="113"/>
      <c r="B6" s="3570" t="s">
        <v>208</v>
      </c>
      <c r="C6" s="3570"/>
      <c r="D6" s="111">
        <f>ROUND($D$3*E6/$E$3,2)</f>
        <v>19463.21</v>
      </c>
      <c r="E6" s="112">
        <f>E3-E5</f>
        <v>197089.87</v>
      </c>
      <c r="F6" s="3079"/>
      <c r="G6" s="1182"/>
      <c r="H6" s="273" t="s">
        <v>851</v>
      </c>
      <c r="I6" s="1886">
        <f>ROUND(F31/D31,2)</f>
        <v>7.86</v>
      </c>
      <c r="J6" s="3079"/>
      <c r="K6" s="3079"/>
      <c r="L6" s="3079"/>
      <c r="M6" s="3079"/>
      <c r="N6" s="3079"/>
      <c r="O6" s="3079"/>
      <c r="P6" s="3079"/>
    </row>
    <row r="7" spans="1:16" ht="15">
      <c r="A7" s="3562"/>
      <c r="B7" s="3563"/>
      <c r="C7" s="3564"/>
      <c r="D7" s="108" t="s">
        <v>204</v>
      </c>
      <c r="E7" s="114" t="s">
        <v>231</v>
      </c>
      <c r="F7" s="3079"/>
      <c r="G7" s="1137" t="s">
        <v>1635</v>
      </c>
      <c r="H7" s="1138"/>
      <c r="I7" s="1756">
        <f>(规划面积!D4+规划面积!D5+规划面积!D8+规划面积!D9)/'数据-基础表'!A3</f>
        <v>7.0613655198705665</v>
      </c>
      <c r="J7" s="3079"/>
      <c r="K7" s="3079"/>
      <c r="L7" s="3079"/>
      <c r="M7" s="3079"/>
      <c r="N7" s="3079"/>
      <c r="O7" s="3079"/>
      <c r="P7" s="3079"/>
    </row>
    <row r="8" spans="1:16">
      <c r="A8" s="110" t="s">
        <v>209</v>
      </c>
      <c r="B8" s="115" t="s">
        <v>210</v>
      </c>
      <c r="C8" s="111" t="s">
        <v>211</v>
      </c>
      <c r="D8" s="111">
        <f t="shared" ref="D8:D15" si="0">ROUND($D$3*E8/$E$3,2)</f>
        <v>13548.34</v>
      </c>
      <c r="E8" s="116">
        <f>SUMIF('数据-基础表'!BB10:BK10,"地上",'数据-基础表'!BB5:BK5)</f>
        <v>137194.27000000002</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544.42999999999995</v>
      </c>
      <c r="E10" s="116">
        <f>SUMPRODUCT(('数据-基础表'!BB10:BK10="地下")*('数据-基础表'!BB11:BK11="商业")*('数据-基础表'!BB5:BK5))</f>
        <v>5513.06</v>
      </c>
      <c r="F10" s="3079"/>
      <c r="G10" s="3080"/>
      <c r="H10" s="3080"/>
      <c r="I10" s="3079"/>
      <c r="J10" s="3079"/>
      <c r="K10" s="3079"/>
      <c r="L10" s="3079"/>
      <c r="M10" s="3079"/>
      <c r="N10" s="3079"/>
      <c r="O10" s="3079"/>
      <c r="P10" s="3079"/>
    </row>
    <row r="11" spans="1:16">
      <c r="A11" s="117"/>
      <c r="B11" s="118"/>
      <c r="C11" s="2207" t="s">
        <v>2313</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7" t="s">
        <v>2320</v>
      </c>
      <c r="D13" s="111">
        <f t="shared" si="0"/>
        <v>3793.74</v>
      </c>
      <c r="E13" s="116">
        <f>SUMPRODUCT(('数据-基础表'!BB10:BK10="地下")*('数据-基础表'!BB11:BK11="车库")*('数据-基础表'!BB5:BK5))</f>
        <v>38416.43</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17886.510000000002</v>
      </c>
      <c r="E16" s="120">
        <f>SUM(E8:E15)</f>
        <v>181123.76</v>
      </c>
      <c r="F16" s="3079"/>
      <c r="G16" s="3080"/>
      <c r="H16" s="955" t="s">
        <v>219</v>
      </c>
      <c r="I16" s="956"/>
      <c r="J16" s="1894"/>
      <c r="K16" s="3556" t="s">
        <v>2545</v>
      </c>
      <c r="L16" s="3557"/>
      <c r="M16" s="3557"/>
      <c r="N16" s="3557"/>
      <c r="O16" s="3557"/>
      <c r="P16" s="3558"/>
    </row>
    <row r="17" spans="1:19" ht="15">
      <c r="A17" s="121" t="s">
        <v>216</v>
      </c>
      <c r="B17" s="122" t="s">
        <v>217</v>
      </c>
      <c r="C17" s="2174" t="s">
        <v>2299</v>
      </c>
      <c r="D17" s="108" t="s">
        <v>204</v>
      </c>
      <c r="E17" s="124" t="s">
        <v>205</v>
      </c>
      <c r="F17" s="125"/>
      <c r="G17" s="1316"/>
      <c r="H17" s="957" t="s">
        <v>218</v>
      </c>
      <c r="I17" s="958" t="s">
        <v>2298</v>
      </c>
      <c r="J17" s="1894"/>
      <c r="K17" s="3559" t="s">
        <v>2546</v>
      </c>
      <c r="L17" s="3560"/>
      <c r="M17" s="3561"/>
      <c r="N17" s="3559" t="s">
        <v>2547</v>
      </c>
      <c r="O17" s="3560"/>
      <c r="P17" s="3561"/>
      <c r="R17" s="2175" t="s">
        <v>2297</v>
      </c>
      <c r="S17" s="142"/>
    </row>
    <row r="18" spans="1:19" ht="15">
      <c r="A18" s="117"/>
      <c r="B18" s="128"/>
      <c r="C18" s="129"/>
      <c r="D18" s="2480"/>
      <c r="E18" s="130" t="s">
        <v>220</v>
      </c>
      <c r="F18" s="131" t="s">
        <v>221</v>
      </c>
      <c r="G18" s="1317" t="s">
        <v>222</v>
      </c>
      <c r="H18" s="959" t="s">
        <v>223</v>
      </c>
      <c r="I18" s="960" t="s">
        <v>224</v>
      </c>
      <c r="J18" s="1894"/>
      <c r="K18" s="2445" t="s">
        <v>2548</v>
      </c>
      <c r="L18" s="2446" t="s">
        <v>2549</v>
      </c>
      <c r="M18" s="2447" t="s">
        <v>2550</v>
      </c>
      <c r="N18" s="2445" t="s">
        <v>2548</v>
      </c>
      <c r="O18" s="2446" t="s">
        <v>2549</v>
      </c>
      <c r="P18" s="2447" t="s">
        <v>2550</v>
      </c>
      <c r="R18" s="2176" t="s">
        <v>2295</v>
      </c>
      <c r="S18" s="2176" t="s">
        <v>2296</v>
      </c>
    </row>
    <row r="19" spans="1:19">
      <c r="A19" s="133"/>
      <c r="B19" s="115" t="s">
        <v>225</v>
      </c>
      <c r="C19" s="2734" t="s">
        <v>3221</v>
      </c>
      <c r="D19" s="111">
        <f t="shared" ref="D19:D26" si="1">ROUND($D$3*E19/$E$3,2)</f>
        <v>7958.75</v>
      </c>
      <c r="E19" s="134">
        <f t="shared" ref="E19:E26" si="2">SUM(F19:G19)</f>
        <v>80592.510000000009</v>
      </c>
      <c r="F19" s="3081">
        <f>'数据-基础表'!I13</f>
        <v>80592.510000000009</v>
      </c>
      <c r="G19" s="3082"/>
      <c r="H19" s="961">
        <f>ROUND($D$3*I19/$E$3,2)</f>
        <v>701.57</v>
      </c>
      <c r="I19" s="116">
        <f>IF($I$17="自定义",P19,M19)</f>
        <v>7104.25</v>
      </c>
      <c r="J19" s="1894"/>
      <c r="K19" s="2448">
        <f t="shared" ref="K19:K26" si="3">ROUND(E$28*E19/E$27,2)</f>
        <v>7104.25</v>
      </c>
      <c r="L19" s="273">
        <f t="shared" ref="L19:L26" si="4">ROUND(IF(COUNTIF(C19,"*住宅*")&gt;0,E$29*E19/E$32,0),2)</f>
        <v>0</v>
      </c>
      <c r="M19" s="2449">
        <f>K19+L19</f>
        <v>7104.25</v>
      </c>
      <c r="N19" s="2450"/>
      <c r="O19" s="2451"/>
      <c r="P19" s="2452">
        <f>N19+O19</f>
        <v>0</v>
      </c>
      <c r="R19" s="273">
        <f t="shared" ref="R19:S26" si="5">D19+H19</f>
        <v>8660.32</v>
      </c>
      <c r="S19" s="2177">
        <f t="shared" si="5"/>
        <v>87696.760000000009</v>
      </c>
    </row>
    <row r="20" spans="1:19">
      <c r="A20" s="137"/>
      <c r="B20" s="115" t="s">
        <v>226</v>
      </c>
      <c r="C20" s="2734" t="s">
        <v>3223</v>
      </c>
      <c r="D20" s="111">
        <f t="shared" si="1"/>
        <v>3919.98</v>
      </c>
      <c r="E20" s="134">
        <f t="shared" si="2"/>
        <v>39694.82</v>
      </c>
      <c r="F20" s="3081">
        <f>'数据-基础表'!K13</f>
        <v>39694.82</v>
      </c>
      <c r="G20" s="3082"/>
      <c r="H20" s="961">
        <f t="shared" ref="H20:H26" si="6">ROUND($D$3*I20/$E$3,2)</f>
        <v>345.55</v>
      </c>
      <c r="I20" s="116">
        <f t="shared" ref="I20:I26" si="7">IF($I$17="自定义",P20,M20)</f>
        <v>3499.11</v>
      </c>
      <c r="J20" s="1894"/>
      <c r="K20" s="2448">
        <f t="shared" si="3"/>
        <v>3499.11</v>
      </c>
      <c r="L20" s="273">
        <f t="shared" si="4"/>
        <v>0</v>
      </c>
      <c r="M20" s="2449">
        <f t="shared" ref="M20:M26" si="8">K20+L20</f>
        <v>3499.11</v>
      </c>
      <c r="N20" s="2450"/>
      <c r="O20" s="2451"/>
      <c r="P20" s="2452">
        <f t="shared" ref="P20:P26" si="9">N20+O20</f>
        <v>0</v>
      </c>
      <c r="R20" s="273">
        <f t="shared" si="5"/>
        <v>4265.53</v>
      </c>
      <c r="S20" s="2177">
        <f t="shared" si="5"/>
        <v>43193.93</v>
      </c>
    </row>
    <row r="21" spans="1:19">
      <c r="A21" s="137"/>
      <c r="B21" s="115" t="s">
        <v>226</v>
      </c>
      <c r="C21" s="2734" t="s">
        <v>3062</v>
      </c>
      <c r="D21" s="111">
        <f t="shared" si="1"/>
        <v>2214.04</v>
      </c>
      <c r="E21" s="134">
        <f t="shared" si="2"/>
        <v>22420</v>
      </c>
      <c r="F21" s="3081">
        <f>'数据-基础表'!M13</f>
        <v>16906.939999999999</v>
      </c>
      <c r="G21" s="3082">
        <f>'数据-基础表'!O13</f>
        <v>5513.06</v>
      </c>
      <c r="H21" s="961">
        <f t="shared" si="6"/>
        <v>195.17</v>
      </c>
      <c r="I21" s="116">
        <f t="shared" si="7"/>
        <v>1976.33</v>
      </c>
      <c r="J21" s="1894"/>
      <c r="K21" s="2448">
        <f t="shared" si="3"/>
        <v>1976.33</v>
      </c>
      <c r="L21" s="273">
        <f t="shared" si="4"/>
        <v>0</v>
      </c>
      <c r="M21" s="2449">
        <f t="shared" si="8"/>
        <v>1976.33</v>
      </c>
      <c r="N21" s="2450"/>
      <c r="O21" s="2451"/>
      <c r="P21" s="2452">
        <f t="shared" si="9"/>
        <v>0</v>
      </c>
      <c r="R21" s="273">
        <f t="shared" si="5"/>
        <v>2409.21</v>
      </c>
      <c r="S21" s="2177">
        <f t="shared" si="5"/>
        <v>24396.33</v>
      </c>
    </row>
    <row r="22" spans="1:19">
      <c r="A22" s="137"/>
      <c r="B22" s="115" t="s">
        <v>226</v>
      </c>
      <c r="C22" s="3372" t="s">
        <v>3219</v>
      </c>
      <c r="D22" s="111">
        <f t="shared" si="1"/>
        <v>3793.74</v>
      </c>
      <c r="E22" s="134">
        <f t="shared" si="2"/>
        <v>38416.43</v>
      </c>
      <c r="F22" s="3083"/>
      <c r="G22" s="3084">
        <f>'数据-基础表'!Q13</f>
        <v>38416.43</v>
      </c>
      <c r="H22" s="961">
        <f t="shared" si="6"/>
        <v>334.42</v>
      </c>
      <c r="I22" s="116">
        <f t="shared" si="7"/>
        <v>3386.42</v>
      </c>
      <c r="J22" s="1894"/>
      <c r="K22" s="2448">
        <f t="shared" si="3"/>
        <v>3386.42</v>
      </c>
      <c r="L22" s="273">
        <f t="shared" si="4"/>
        <v>0</v>
      </c>
      <c r="M22" s="2449">
        <f t="shared" si="8"/>
        <v>3386.42</v>
      </c>
      <c r="N22" s="2450"/>
      <c r="O22" s="2451"/>
      <c r="P22" s="2452">
        <f t="shared" si="9"/>
        <v>0</v>
      </c>
      <c r="R22" s="273">
        <f t="shared" si="5"/>
        <v>4128.16</v>
      </c>
      <c r="S22" s="2177">
        <f t="shared" si="5"/>
        <v>41802.85</v>
      </c>
    </row>
    <row r="23" spans="1:19">
      <c r="A23" s="137"/>
      <c r="B23" s="115" t="s">
        <v>226</v>
      </c>
      <c r="C23" s="3372"/>
      <c r="D23" s="111">
        <f>ROUND($D$3*E23/$E$3,2)</f>
        <v>0</v>
      </c>
      <c r="E23" s="134">
        <f>SUM(F23:G23)</f>
        <v>0</v>
      </c>
      <c r="F23" s="3083"/>
      <c r="G23" s="3084"/>
      <c r="H23" s="961">
        <f>ROUND($D$3*I23/$E$3,2)</f>
        <v>0</v>
      </c>
      <c r="I23" s="116">
        <f t="shared" si="7"/>
        <v>0</v>
      </c>
      <c r="J23" s="1894"/>
      <c r="K23" s="2448">
        <f t="shared" si="3"/>
        <v>0</v>
      </c>
      <c r="L23" s="273">
        <f t="shared" si="4"/>
        <v>0</v>
      </c>
      <c r="M23" s="2449">
        <f t="shared" si="8"/>
        <v>0</v>
      </c>
      <c r="N23" s="2450"/>
      <c r="O23" s="2451"/>
      <c r="P23" s="2452">
        <f t="shared" si="9"/>
        <v>0</v>
      </c>
      <c r="R23" s="273">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3">
        <f t="shared" si="4"/>
        <v>0</v>
      </c>
      <c r="M24" s="2449">
        <f t="shared" si="8"/>
        <v>0</v>
      </c>
      <c r="N24" s="2450"/>
      <c r="O24" s="2451"/>
      <c r="P24" s="2452">
        <f t="shared" si="9"/>
        <v>0</v>
      </c>
      <c r="R24" s="273">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3">
        <f t="shared" si="4"/>
        <v>0</v>
      </c>
      <c r="M25" s="2449">
        <f t="shared" si="8"/>
        <v>0</v>
      </c>
      <c r="N25" s="2450"/>
      <c r="O25" s="2451"/>
      <c r="P25" s="2452">
        <f t="shared" si="9"/>
        <v>0</v>
      </c>
      <c r="R25" s="273">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8">
        <f t="shared" si="4"/>
        <v>0</v>
      </c>
      <c r="M26" s="144">
        <f t="shared" si="8"/>
        <v>0</v>
      </c>
      <c r="N26" s="2454"/>
      <c r="O26" s="2455"/>
      <c r="P26" s="2456">
        <f t="shared" si="9"/>
        <v>0</v>
      </c>
      <c r="R26" s="273">
        <f t="shared" si="5"/>
        <v>0</v>
      </c>
      <c r="S26" s="2177">
        <f t="shared" si="5"/>
        <v>0</v>
      </c>
    </row>
    <row r="27" spans="1:19" ht="29.25" thickBot="1">
      <c r="A27" s="137"/>
      <c r="B27" s="111"/>
      <c r="C27" s="127" t="s">
        <v>215</v>
      </c>
      <c r="D27" s="134">
        <f>SUM(D19:D26)</f>
        <v>17886.510000000002</v>
      </c>
      <c r="E27" s="141">
        <f>IF(SUM(E19:E26)='数据-基础表'!BA5,SUM(E19:E26),IF(F27="地上面积有误","面积有误","地下面积有误"))</f>
        <v>181123.76</v>
      </c>
      <c r="F27" s="134">
        <f>IF(SUM(F19:F26)=E8,SUM(F19:F26),"地上面积有误")</f>
        <v>137194.27000000002</v>
      </c>
      <c r="G27" s="112">
        <f>SUM(G19:G26)</f>
        <v>43929.49</v>
      </c>
      <c r="H27" s="962">
        <f>SUM(H19:H26)</f>
        <v>1576.7100000000003</v>
      </c>
      <c r="I27" s="963">
        <f>SUM(I19:I26)</f>
        <v>15966.11</v>
      </c>
      <c r="J27" s="1894"/>
      <c r="K27" s="2457">
        <f>SUM(K19:K26)</f>
        <v>15966.11</v>
      </c>
      <c r="L27" s="2458">
        <f>SUM(L19:L26)</f>
        <v>0</v>
      </c>
      <c r="M27" s="2459">
        <f>SUM(M19:M26)</f>
        <v>15966.11</v>
      </c>
      <c r="N27" s="2457">
        <f t="shared" ref="N27:O27" si="10">SUM(N19:N26)</f>
        <v>0</v>
      </c>
      <c r="O27" s="2458">
        <f t="shared" si="10"/>
        <v>0</v>
      </c>
      <c r="P27" s="2460">
        <f>SUM(P19:P26)</f>
        <v>0</v>
      </c>
      <c r="R27" s="2181" t="str">
        <f>IF(SUM(R19:R26)=$D$3,SUM(R19:R26),SUM(R19:R26)&amp;"误差"&amp;ROUND(SUM(R19:R26)-$D$3,2))</f>
        <v>19463.22误差0.01</v>
      </c>
      <c r="S27" s="273">
        <f>IF(SUM(S19:S26)=$E$3,SUM(S19:S26),SUM(S19:S26)&amp;"误差"&amp;ROUND(SUM(S19:S26)-E3,2))</f>
        <v>197089.87000000002</v>
      </c>
    </row>
    <row r="28" spans="1:19">
      <c r="A28" s="137"/>
      <c r="B28" s="115" t="s">
        <v>227</v>
      </c>
      <c r="C28" s="135" t="s">
        <v>228</v>
      </c>
      <c r="D28" s="111">
        <f>ROUND($D$3*E28/$E$3,2)</f>
        <v>1576.7</v>
      </c>
      <c r="E28" s="134">
        <f>SUM(F28:G28)</f>
        <v>15966.109999999999</v>
      </c>
      <c r="F28" s="142">
        <f>'数据-基础表'!BQ5+'数据-基础表'!BS5</f>
        <v>15743.109999999999</v>
      </c>
      <c r="G28" s="143">
        <f>'数据-基础表'!BR5+'数据-基础表'!BT5</f>
        <v>223</v>
      </c>
      <c r="H28" s="3079"/>
      <c r="I28" s="3079"/>
      <c r="J28" s="3079"/>
      <c r="K28" s="3079"/>
      <c r="L28" s="3079"/>
      <c r="M28" s="3079"/>
      <c r="N28" s="3079"/>
      <c r="O28" s="3079"/>
      <c r="P28" s="3079"/>
    </row>
    <row r="29" spans="1:19">
      <c r="A29" s="137"/>
      <c r="B29" s="115" t="s">
        <v>227</v>
      </c>
      <c r="C29" s="2189" t="s">
        <v>2306</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1576.7</v>
      </c>
      <c r="E30" s="134">
        <f>SUM(E28:E29)</f>
        <v>15966.109999999999</v>
      </c>
      <c r="F30" s="134">
        <f>SUM(F28:F29)</f>
        <v>15743.109999999999</v>
      </c>
      <c r="G30" s="112">
        <f>SUM(G28:G29)</f>
        <v>223</v>
      </c>
      <c r="H30" s="3079"/>
      <c r="I30" s="3079"/>
      <c r="J30" s="3079"/>
      <c r="K30" s="3079"/>
      <c r="L30" s="3079"/>
      <c r="M30" s="3079"/>
      <c r="N30" s="3079"/>
      <c r="O30" s="3079"/>
      <c r="P30" s="3079"/>
    </row>
    <row r="31" spans="1:19" ht="32.25" customHeight="1" thickBot="1">
      <c r="A31" s="1318"/>
      <c r="B31" s="1319" t="s">
        <v>229</v>
      </c>
      <c r="C31" s="2206" t="s">
        <v>2308</v>
      </c>
      <c r="D31" s="1320">
        <f>D27+D30</f>
        <v>19463.210000000003</v>
      </c>
      <c r="E31" s="1320">
        <f>E27+E30</f>
        <v>197089.87</v>
      </c>
      <c r="F31" s="1321">
        <f>F27+F30</f>
        <v>152937.38</v>
      </c>
      <c r="G31" s="1322">
        <f>G27+G30</f>
        <v>44152.49</v>
      </c>
      <c r="H31" s="3079"/>
      <c r="I31" s="3079"/>
      <c r="J31" s="3079"/>
      <c r="K31" s="3079"/>
      <c r="L31" s="3079"/>
      <c r="M31" s="3079"/>
      <c r="N31" s="3079"/>
      <c r="O31" s="3079"/>
      <c r="P31" s="3079"/>
    </row>
    <row r="32" spans="1:19">
      <c r="A32" s="1894"/>
      <c r="B32" s="2218" t="s">
        <v>2307</v>
      </c>
      <c r="C32" s="2485"/>
      <c r="D32" s="1182"/>
      <c r="E32" s="1182">
        <f>SUMIF(C19:C26,"*住宅*",E19:E26)</f>
        <v>0</v>
      </c>
      <c r="F32" s="1182"/>
      <c r="G32" s="1182"/>
      <c r="H32" s="3079"/>
      <c r="I32" s="3079"/>
      <c r="J32" s="3079"/>
      <c r="K32" s="3079"/>
      <c r="L32" s="3079"/>
      <c r="M32" s="3079"/>
      <c r="N32" s="3079"/>
      <c r="O32" s="3079"/>
      <c r="P32" s="3079"/>
    </row>
    <row r="33" spans="4:8">
      <c r="D33" s="1896"/>
    </row>
    <row r="34" spans="4:8">
      <c r="F34" s="1895">
        <f>15966.11*22420/181123.76</f>
        <v>1976.3292579615174</v>
      </c>
      <c r="H34" s="1895">
        <f>19463.21*(1976.33+22420)/197089.87</f>
        <v>2409.2100421969935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110" zoomScaleNormal="110" workbookViewId="0">
      <pane xSplit="3" ySplit="5" topLeftCell="H21"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3" width="8.5" style="1184" customWidth="1"/>
    <col min="24" max="24" width="6.75" style="1184" customWidth="1"/>
    <col min="25" max="25" width="8.125" style="1184" customWidth="1"/>
    <col min="26" max="30" width="6.75" style="1184" hidden="1" customWidth="1"/>
    <col min="31" max="31" width="6.5" style="1184" customWidth="1"/>
    <col min="32" max="34" width="7.25" style="1184" customWidth="1"/>
    <col min="35" max="39" width="8" style="1184" customWidth="1"/>
    <col min="40" max="41" width="13.75" style="1904"/>
    <col min="42" max="42" width="13.75" style="1904" customWidth="1"/>
    <col min="43" max="83" width="13.75" style="1904"/>
    <col min="84" max="16384" width="13.75" style="1184"/>
  </cols>
  <sheetData>
    <row r="1" spans="1:83" ht="19.5" thickBot="1">
      <c r="A1" s="146" t="s">
        <v>234</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7" t="s">
        <v>235</v>
      </c>
      <c r="B2" s="2214">
        <f>项目基本情况!D3</f>
        <v>44377</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8" t="s">
        <v>855</v>
      </c>
      <c r="B4" s="150"/>
      <c r="C4" s="151"/>
      <c r="D4" s="1189"/>
      <c r="E4" s="1190" t="s">
        <v>856</v>
      </c>
      <c r="F4" s="151"/>
      <c r="G4" s="151"/>
      <c r="H4" s="151"/>
      <c r="I4" s="151"/>
      <c r="J4" s="152"/>
      <c r="K4" s="1191"/>
      <c r="L4" s="1192"/>
      <c r="M4" s="151"/>
      <c r="N4" s="1190"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0" t="s">
        <v>2804</v>
      </c>
      <c r="O5" s="161" t="s">
        <v>246</v>
      </c>
      <c r="P5" s="163" t="s">
        <v>247</v>
      </c>
      <c r="Q5" s="164" t="s">
        <v>248</v>
      </c>
      <c r="R5" s="165" t="s">
        <v>249</v>
      </c>
      <c r="S5" s="2461" t="s">
        <v>2551</v>
      </c>
      <c r="T5" s="166" t="s">
        <v>250</v>
      </c>
      <c r="U5" s="167" t="s">
        <v>251</v>
      </c>
      <c r="V5" s="157" t="s">
        <v>252</v>
      </c>
      <c r="W5" s="157" t="s">
        <v>253</v>
      </c>
      <c r="X5" s="1729"/>
      <c r="Y5" s="168" t="s">
        <v>254</v>
      </c>
      <c r="Z5" s="169" t="s">
        <v>255</v>
      </c>
      <c r="AA5" s="157" t="s">
        <v>252</v>
      </c>
      <c r="AB5" s="157" t="s">
        <v>253</v>
      </c>
      <c r="AC5" s="1730"/>
      <c r="AD5" s="170" t="s">
        <v>254</v>
      </c>
      <c r="AE5" s="1" t="s">
        <v>861</v>
      </c>
      <c r="AF5" s="157" t="s">
        <v>256</v>
      </c>
      <c r="AG5" s="168" t="s">
        <v>257</v>
      </c>
      <c r="AH5" s="1730" t="s">
        <v>2309</v>
      </c>
      <c r="AI5" s="169" t="s">
        <v>2278</v>
      </c>
      <c r="AJ5" s="169" t="s">
        <v>258</v>
      </c>
      <c r="AK5" s="157" t="s">
        <v>259</v>
      </c>
      <c r="AL5" s="157" t="s">
        <v>260</v>
      </c>
      <c r="AM5" s="170" t="s">
        <v>261</v>
      </c>
      <c r="AN5" s="2242" t="s">
        <v>2356</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写字楼-北塔</v>
      </c>
      <c r="B6" s="2213" t="str">
        <f>IF(A6=0,"","经营性")</f>
        <v>经营性</v>
      </c>
      <c r="C6" s="171" t="s">
        <v>3001</v>
      </c>
      <c r="D6" s="2184">
        <f>SUMIF(项目基本情况!D$15:I$15,C6,项目基本情况!D$18:I$18)</f>
        <v>40</v>
      </c>
      <c r="E6" s="2185">
        <f>IF(B6="","",SUMIF(项目基本情况!D$15:I$15,C6,项目基本情况!D$17:I$17))</f>
        <v>57601</v>
      </c>
      <c r="F6" s="172">
        <f>SUMIF(项目基本情况!D$15:I$15,C6,项目基本情况!D$19:I$19)</f>
        <v>36.229999999999997</v>
      </c>
      <c r="G6" s="173">
        <f>IF(ISERROR(ROUND(POWER(1+H6,D6-F6)*(POWER(1+H6,F6)-1)/(POWER(1+H6,D6)-1),3)),0,ROUND(POWER(1+H6,D6-F6)*(POWER(1+H6,F6)-1)/(POWER(1+H6,D6)-1),3))</f>
        <v>0.96699999999999997</v>
      </c>
      <c r="H6" s="2735">
        <v>0.05</v>
      </c>
      <c r="I6" s="2735">
        <v>5.5E-2</v>
      </c>
      <c r="J6" s="174">
        <v>8.5000000000000006E-2</v>
      </c>
      <c r="K6" s="177">
        <f>SUMIF('数据-汇总表'!C$19:C$33,'数据-取费表'!A6,'数据-汇总表'!E$19:E$33)</f>
        <v>80592.510000000009</v>
      </c>
      <c r="L6" s="2736">
        <v>4000</v>
      </c>
      <c r="M6" s="175">
        <f t="shared" ref="M6:M14" si="0">ROUND(K6*L6/10000,0)</f>
        <v>32237</v>
      </c>
      <c r="N6" s="2737">
        <v>0</v>
      </c>
      <c r="O6" s="175">
        <f>IF($N$5="成新度","——",ROUND(M6*N6,0))</f>
        <v>0</v>
      </c>
      <c r="P6" s="176">
        <f>IF($N$5="成新度","——",M6-O6)</f>
        <v>32237</v>
      </c>
      <c r="Q6" s="2738">
        <v>0.2</v>
      </c>
      <c r="R6" s="177">
        <f>SUMIF('数据-汇总表'!C$19:C$33,A6,'数据-汇总表'!R$19:R$33)</f>
        <v>8660.32</v>
      </c>
      <c r="S6" s="132">
        <f>IF('数据-汇总表'!$I$17="按面积比例",SUMIF('数据-汇总表'!C$19:C$33,A6,'数据-汇总表'!K$19:K$33),SUMIF('数据-汇总表'!C$19:C$33,A6,'数据-汇总表'!N$19:N$33))</f>
        <v>7104.25</v>
      </c>
      <c r="T6" s="2110">
        <f>IF($T$4="按面积比例",IF(ISERROR(ROUND($M$14*S6/S$16,0)),"0",ROUND($M$14*S6/S$16,0)),"需自行计算录入")</f>
        <v>2131</v>
      </c>
      <c r="U6" s="178"/>
      <c r="V6" s="179"/>
      <c r="W6" s="179"/>
      <c r="X6" s="2197"/>
      <c r="Y6" s="180"/>
      <c r="Z6" s="181"/>
      <c r="AA6" s="174"/>
      <c r="AB6" s="174"/>
      <c r="AC6" s="2200"/>
      <c r="AD6" s="182"/>
      <c r="AE6" s="959">
        <f ca="1">IF(AN6="",0,SUMIF(INDIRECT("'"&amp;AN6&amp;"'"&amp;"!E:E"),$AE$5,INDIRECT("'"&amp;AN6&amp;"'"&amp;"!F:F")))</f>
        <v>0</v>
      </c>
      <c r="AF6" s="139"/>
      <c r="AG6" s="1194">
        <f>IF(AF6="",0,AE6-AF6)</f>
        <v>0</v>
      </c>
      <c r="AH6" s="139"/>
      <c r="AI6" s="185"/>
      <c r="AJ6" s="186"/>
      <c r="AK6" s="187"/>
      <c r="AL6" s="188"/>
      <c r="AM6" s="2749"/>
      <c r="AN6" s="2243"/>
      <c r="AO6" s="3089"/>
      <c r="AP6" s="1185">
        <f>ROUND(1-1/(1+H6)^F6,3)</f>
        <v>0.82899999999999996</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公寓-南塔</v>
      </c>
      <c r="B7" s="2213" t="str">
        <f t="shared" ref="B7:B13" si="1">IF(A7=0,"","经营性")</f>
        <v>经营性</v>
      </c>
      <c r="C7" s="171" t="s">
        <v>3001</v>
      </c>
      <c r="D7" s="2184">
        <f>SUMIF(项目基本情况!D$15:I$15,C7,项目基本情况!D$18:I$18)</f>
        <v>40</v>
      </c>
      <c r="E7" s="2185">
        <f>IF(B7="","",SUMIF(项目基本情况!D$15:I$15,C7,项目基本情况!D$17:I$17))</f>
        <v>57601</v>
      </c>
      <c r="F7" s="172">
        <f>SUMIF(项目基本情况!D$15:I$15,C7,项目基本情况!D$19:I$19)</f>
        <v>36.229999999999997</v>
      </c>
      <c r="G7" s="173">
        <f t="shared" ref="G7:G11" si="2">IF(ISERROR(ROUND(POWER(1+H7,D7-F7)*(POWER(1+H7,F7)-1)/(POWER(1+H7,D7)-1),3)),0,ROUND(POWER(1+H7,D7-F7)*(POWER(1+H7,F7)-1)/(POWER(1+H7,D7)-1),3))</f>
        <v>0.96699999999999997</v>
      </c>
      <c r="H7" s="2735">
        <v>0.05</v>
      </c>
      <c r="I7" s="2735">
        <v>5.5E-2</v>
      </c>
      <c r="J7" s="174">
        <v>8.5000000000000006E-2</v>
      </c>
      <c r="K7" s="177">
        <f>SUMIF('数据-汇总表'!C$19:C$33,'数据-取费表'!A7,'数据-汇总表'!E$19:E$33)</f>
        <v>39694.82</v>
      </c>
      <c r="L7" s="3793">
        <v>4600</v>
      </c>
      <c r="M7" s="175">
        <f t="shared" si="0"/>
        <v>18260</v>
      </c>
      <c r="N7" s="2737">
        <v>0</v>
      </c>
      <c r="O7" s="175">
        <f t="shared" ref="O7:O14" si="3">IF($N$5="成新度","——",ROUND(M7*N7,0))</f>
        <v>0</v>
      </c>
      <c r="P7" s="176">
        <f t="shared" ref="P7:P14" si="4">IF($N$5="成新度","——",M7-O7)</f>
        <v>18260</v>
      </c>
      <c r="Q7" s="2738">
        <v>0.2</v>
      </c>
      <c r="R7" s="177">
        <f>SUMIF('数据-汇总表'!C$19:C$33,A7,'数据-汇总表'!R$19:R$33)</f>
        <v>4265.53</v>
      </c>
      <c r="S7" s="132">
        <f>IF('数据-汇总表'!$I$17="按面积比例",SUMIF('数据-汇总表'!C$19:C$33,A7,'数据-汇总表'!K$19:K$33),SUMIF('数据-汇总表'!C$19:C$33,A7,'数据-汇总表'!N$19:N$33))</f>
        <v>3499.11</v>
      </c>
      <c r="T7" s="2110">
        <f t="shared" ref="T7:T13" si="5">IF($T$4="按面积比例",IF(ISERROR(ROUND($M$14*S7/S$16,0)),"0",ROUND($M$14*S7/S$16,0)),"需自行计算录入")</f>
        <v>1050</v>
      </c>
      <c r="U7" s="178"/>
      <c r="V7" s="179"/>
      <c r="W7" s="179"/>
      <c r="X7" s="2197"/>
      <c r="Y7" s="180"/>
      <c r="Z7" s="181"/>
      <c r="AA7" s="174"/>
      <c r="AB7" s="174"/>
      <c r="AC7" s="2200"/>
      <c r="AD7" s="182"/>
      <c r="AE7" s="959">
        <f t="shared" ref="AE7:AE13" ca="1" si="6">IF(AN7="",0,SUMIF(INDIRECT("'"&amp;AN7&amp;"'"&amp;"!E:E"),$AE$5,INDIRECT("'"&amp;AN7&amp;"'"&amp;"!F:F")))</f>
        <v>0</v>
      </c>
      <c r="AF7" s="139"/>
      <c r="AG7" s="1194">
        <f t="shared" ref="AG7:AG13" si="7">IF(AF7="",0,AE7-AF7)</f>
        <v>0</v>
      </c>
      <c r="AH7" s="139"/>
      <c r="AI7" s="185"/>
      <c r="AJ7" s="186"/>
      <c r="AK7" s="187"/>
      <c r="AL7" s="188"/>
      <c r="AM7" s="2241"/>
      <c r="AN7" s="2243"/>
      <c r="AO7" s="3089"/>
      <c r="AP7" s="1185">
        <f t="shared" ref="AP7:AP13" si="8">ROUND(1-1/(1+H7)^F7,3)</f>
        <v>0.82899999999999996</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商业</v>
      </c>
      <c r="B8" s="2213" t="str">
        <f t="shared" si="1"/>
        <v>经营性</v>
      </c>
      <c r="C8" s="171" t="s">
        <v>3001</v>
      </c>
      <c r="D8" s="2184">
        <f>SUMIF(项目基本情况!D$15:I$15,C8,项目基本情况!D$18:I$18)</f>
        <v>40</v>
      </c>
      <c r="E8" s="2185">
        <f>IF(B8="","",SUMIF(项目基本情况!D$15:I$15,C8,项目基本情况!D$17:I$17))</f>
        <v>57601</v>
      </c>
      <c r="F8" s="172">
        <f>SUMIF(项目基本情况!D$15:I$15,C8,项目基本情况!D$19:I$19)</f>
        <v>36.229999999999997</v>
      </c>
      <c r="G8" s="173">
        <f t="shared" si="2"/>
        <v>0.97</v>
      </c>
      <c r="H8" s="2735">
        <v>5.5E-2</v>
      </c>
      <c r="I8" s="2735">
        <v>0.06</v>
      </c>
      <c r="J8" s="174">
        <v>8.5000000000000006E-2</v>
      </c>
      <c r="K8" s="177">
        <f>SUMIF('数据-汇总表'!C$19:C$33,'数据-取费表'!A8,'数据-汇总表'!E$19:E$33)</f>
        <v>22420</v>
      </c>
      <c r="L8" s="2736">
        <v>3500</v>
      </c>
      <c r="M8" s="175">
        <f>ROUND(K8*L8/10000,0)</f>
        <v>7847</v>
      </c>
      <c r="N8" s="2737">
        <v>0</v>
      </c>
      <c r="O8" s="175">
        <f t="shared" si="3"/>
        <v>0</v>
      </c>
      <c r="P8" s="176">
        <f t="shared" si="4"/>
        <v>7847</v>
      </c>
      <c r="Q8" s="2738">
        <v>0.2</v>
      </c>
      <c r="R8" s="177">
        <f>SUMIF('数据-汇总表'!C$19:C$33,A8,'数据-汇总表'!R$19:R$33)</f>
        <v>2409.21</v>
      </c>
      <c r="S8" s="132">
        <f>IF('数据-汇总表'!$I$17="按面积比例",SUMIF('数据-汇总表'!C$19:C$33,A8,'数据-汇总表'!K$19:K$33),SUMIF('数据-汇总表'!C$19:C$33,A8,'数据-汇总表'!N$19:N$33))</f>
        <v>1976.33</v>
      </c>
      <c r="T8" s="2110">
        <f t="shared" si="5"/>
        <v>593</v>
      </c>
      <c r="U8" s="178">
        <v>3.6</v>
      </c>
      <c r="V8" s="179">
        <v>2.5000000000000001E-2</v>
      </c>
      <c r="W8" s="3794">
        <v>0.1</v>
      </c>
      <c r="X8" s="2197"/>
      <c r="Y8" s="180">
        <v>1</v>
      </c>
      <c r="Z8" s="181"/>
      <c r="AA8" s="174"/>
      <c r="AB8" s="174"/>
      <c r="AC8" s="2200"/>
      <c r="AD8" s="182"/>
      <c r="AE8" s="959">
        <f t="shared" ca="1" si="6"/>
        <v>33.229999999999997</v>
      </c>
      <c r="AF8" s="139"/>
      <c r="AG8" s="1194">
        <f t="shared" si="7"/>
        <v>0</v>
      </c>
      <c r="AH8" s="139"/>
      <c r="AI8" s="185">
        <v>365</v>
      </c>
      <c r="AJ8" s="186"/>
      <c r="AK8" s="187">
        <v>1.4999999999999999E-2</v>
      </c>
      <c r="AL8" s="188">
        <v>1.5E-3</v>
      </c>
      <c r="AM8" s="2241">
        <v>0.01</v>
      </c>
      <c r="AN8" s="2243" t="s">
        <v>3483</v>
      </c>
      <c r="AO8" s="3089"/>
      <c r="AP8" s="1185">
        <f t="shared" si="8"/>
        <v>0.85599999999999998</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地下车库</v>
      </c>
      <c r="B9" s="2213" t="str">
        <f t="shared" si="1"/>
        <v>经营性</v>
      </c>
      <c r="C9" s="171" t="s">
        <v>3053</v>
      </c>
      <c r="D9" s="2184">
        <f>SUMIF(项目基本情况!D$15:I$15,C9,项目基本情况!D$18:I$18)</f>
        <v>40</v>
      </c>
      <c r="E9" s="2185">
        <f>IF(B9="","",SUMIF(项目基本情况!D$15:I$15,C9,项目基本情况!D$17:I$17))</f>
        <v>57601</v>
      </c>
      <c r="F9" s="172">
        <f>SUMIF(项目基本情况!D$15:I$15,C9,项目基本情况!D$19:I$19)</f>
        <v>36.229999999999997</v>
      </c>
      <c r="G9" s="173">
        <f t="shared" si="2"/>
        <v>0.95799999999999996</v>
      </c>
      <c r="H9" s="2735">
        <v>0.04</v>
      </c>
      <c r="I9" s="2735">
        <v>4.4999999999999998E-2</v>
      </c>
      <c r="J9" s="174">
        <v>8.5000000000000006E-2</v>
      </c>
      <c r="K9" s="177">
        <f>SUMIF('数据-汇总表'!C$19:C$33,'数据-取费表'!A9,'数据-汇总表'!E$19:E$33)</f>
        <v>38416.43</v>
      </c>
      <c r="L9" s="191">
        <v>3000</v>
      </c>
      <c r="M9" s="175">
        <f t="shared" si="0"/>
        <v>11525</v>
      </c>
      <c r="N9" s="192">
        <v>0</v>
      </c>
      <c r="O9" s="175">
        <f t="shared" si="3"/>
        <v>0</v>
      </c>
      <c r="P9" s="176">
        <f t="shared" si="4"/>
        <v>11525</v>
      </c>
      <c r="Q9" s="190">
        <v>0.1</v>
      </c>
      <c r="R9" s="177">
        <f>SUMIF('数据-汇总表'!C$19:C$33,A9,'数据-汇总表'!R$19:R$33)</f>
        <v>4128.16</v>
      </c>
      <c r="S9" s="132">
        <f>IF('数据-汇总表'!$I$17="按面积比例",SUMIF('数据-汇总表'!C$19:C$33,A9,'数据-汇总表'!K$19:K$33),SUMIF('数据-汇总表'!C$19:C$33,A9,'数据-汇总表'!N$19:N$33))</f>
        <v>3386.42</v>
      </c>
      <c r="T9" s="2110">
        <f t="shared" si="5"/>
        <v>1016</v>
      </c>
      <c r="U9" s="178">
        <v>0.6</v>
      </c>
      <c r="V9" s="179">
        <v>0.02</v>
      </c>
      <c r="W9" s="3794">
        <v>0.1</v>
      </c>
      <c r="X9" s="2197"/>
      <c r="Y9" s="180">
        <v>1</v>
      </c>
      <c r="Z9" s="181"/>
      <c r="AA9" s="174"/>
      <c r="AB9" s="174"/>
      <c r="AC9" s="2200"/>
      <c r="AD9" s="182"/>
      <c r="AE9" s="959">
        <f t="shared" ca="1" si="6"/>
        <v>33.229999999999997</v>
      </c>
      <c r="AF9" s="139"/>
      <c r="AG9" s="1194">
        <f t="shared" si="7"/>
        <v>0</v>
      </c>
      <c r="AH9" s="139"/>
      <c r="AI9" s="185">
        <v>365</v>
      </c>
      <c r="AJ9" s="186"/>
      <c r="AK9" s="187">
        <v>1.4999999999999999E-2</v>
      </c>
      <c r="AL9" s="188">
        <v>1.5E-3</v>
      </c>
      <c r="AM9" s="2241">
        <v>0.01</v>
      </c>
      <c r="AN9" s="2243" t="s">
        <v>3440</v>
      </c>
      <c r="AO9" s="3089"/>
      <c r="AP9" s="1185">
        <f t="shared" si="8"/>
        <v>0.75900000000000001</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v>0</v>
      </c>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f t="shared" si="5"/>
        <v>0</v>
      </c>
      <c r="U10" s="178"/>
      <c r="V10" s="179"/>
      <c r="W10" s="179"/>
      <c r="X10" s="2197"/>
      <c r="Y10" s="180"/>
      <c r="Z10" s="181"/>
      <c r="AA10" s="174"/>
      <c r="AB10" s="174"/>
      <c r="AC10" s="2200"/>
      <c r="AD10" s="182"/>
      <c r="AE10" s="959">
        <f t="shared" ca="1" si="6"/>
        <v>0</v>
      </c>
      <c r="AF10" s="139"/>
      <c r="AG10" s="1194">
        <f t="shared" si="7"/>
        <v>0</v>
      </c>
      <c r="AH10" s="139"/>
      <c r="AI10" s="185"/>
      <c r="AJ10" s="186"/>
      <c r="AK10" s="187"/>
      <c r="AL10" s="188"/>
      <c r="AM10" s="2241"/>
      <c r="AN10" s="2243"/>
      <c r="AO10" s="3089"/>
      <c r="AP10" s="1185">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hidden="1">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f t="shared" si="5"/>
        <v>0</v>
      </c>
      <c r="U11" s="183"/>
      <c r="V11" s="174"/>
      <c r="W11" s="174"/>
      <c r="X11" s="2200"/>
      <c r="Y11" s="180"/>
      <c r="Z11" s="193"/>
      <c r="AA11" s="174"/>
      <c r="AB11" s="174"/>
      <c r="AC11" s="2200"/>
      <c r="AD11" s="182"/>
      <c r="AE11" s="959">
        <f t="shared" ca="1" si="6"/>
        <v>0</v>
      </c>
      <c r="AF11" s="139"/>
      <c r="AG11" s="1194">
        <f t="shared" si="7"/>
        <v>0</v>
      </c>
      <c r="AH11" s="139"/>
      <c r="AI11" s="185"/>
      <c r="AJ11" s="186"/>
      <c r="AK11" s="194"/>
      <c r="AL11" s="195"/>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hidden="1">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f t="shared" si="5"/>
        <v>0</v>
      </c>
      <c r="U12" s="183"/>
      <c r="V12" s="174"/>
      <c r="W12" s="174"/>
      <c r="X12" s="2200"/>
      <c r="Y12" s="180"/>
      <c r="Z12" s="193"/>
      <c r="AA12" s="174"/>
      <c r="AB12" s="174"/>
      <c r="AC12" s="2200"/>
      <c r="AD12" s="182"/>
      <c r="AE12" s="959">
        <f t="shared" ca="1" si="6"/>
        <v>0</v>
      </c>
      <c r="AF12" s="139"/>
      <c r="AG12" s="1194">
        <f t="shared" si="7"/>
        <v>0</v>
      </c>
      <c r="AH12" s="139"/>
      <c r="AI12" s="185"/>
      <c r="AJ12" s="186"/>
      <c r="AK12" s="194"/>
      <c r="AL12" s="195"/>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hidden="1">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f t="shared" si="5"/>
        <v>0</v>
      </c>
      <c r="U13" s="178"/>
      <c r="V13" s="179"/>
      <c r="W13" s="179"/>
      <c r="X13" s="2197"/>
      <c r="Y13" s="180"/>
      <c r="Z13" s="181"/>
      <c r="AA13" s="174"/>
      <c r="AB13" s="174"/>
      <c r="AC13" s="2200"/>
      <c r="AD13" s="182"/>
      <c r="AE13" s="959">
        <f t="shared" ca="1" si="6"/>
        <v>0</v>
      </c>
      <c r="AF13" s="139"/>
      <c r="AG13" s="1194">
        <f t="shared" si="7"/>
        <v>0</v>
      </c>
      <c r="AH13" s="139"/>
      <c r="AI13" s="185"/>
      <c r="AJ13" s="186"/>
      <c r="AK13" s="187"/>
      <c r="AL13" s="188"/>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2300</v>
      </c>
      <c r="B14" s="2182" t="s">
        <v>1669</v>
      </c>
      <c r="C14" s="2183" t="s">
        <v>2300</v>
      </c>
      <c r="D14" s="2184"/>
      <c r="E14" s="2185"/>
      <c r="F14" s="172"/>
      <c r="G14" s="173"/>
      <c r="H14" s="2186"/>
      <c r="I14" s="2186"/>
      <c r="J14" s="2186"/>
      <c r="K14" s="177">
        <f>SUMIF('数据-汇总表'!C$19:C$33,'数据-取费表'!A14,'数据-汇总表'!E$19:E$33)</f>
        <v>15966.109999999999</v>
      </c>
      <c r="L14" s="191">
        <v>3000</v>
      </c>
      <c r="M14" s="175">
        <f t="shared" si="0"/>
        <v>4790</v>
      </c>
      <c r="N14" s="192">
        <v>0</v>
      </c>
      <c r="O14" s="175">
        <f t="shared" si="3"/>
        <v>0</v>
      </c>
      <c r="P14" s="176">
        <f t="shared" si="4"/>
        <v>4790</v>
      </c>
      <c r="Q14" s="2194"/>
      <c r="R14" s="177"/>
      <c r="S14" s="132"/>
      <c r="T14" s="2193"/>
      <c r="U14" s="961"/>
      <c r="V14" s="2196"/>
      <c r="W14" s="2196"/>
      <c r="X14" s="2197"/>
      <c r="Y14" s="2198"/>
      <c r="Z14" s="135"/>
      <c r="AA14" s="2199"/>
      <c r="AB14" s="2199"/>
      <c r="AC14" s="2200"/>
      <c r="AD14" s="2197"/>
      <c r="AE14" s="959"/>
      <c r="AF14" s="2172"/>
      <c r="AG14" s="1194"/>
      <c r="AH14" s="2172"/>
      <c r="AI14" s="1502"/>
      <c r="AJ14" s="1502"/>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2302</v>
      </c>
      <c r="B15" s="2182" t="s">
        <v>1669</v>
      </c>
      <c r="C15" s="2183" t="s">
        <v>2301</v>
      </c>
      <c r="D15" s="2184"/>
      <c r="E15" s="2185"/>
      <c r="F15" s="172"/>
      <c r="G15" s="173"/>
      <c r="H15" s="2186"/>
      <c r="I15" s="2186"/>
      <c r="J15" s="2186"/>
      <c r="K15" s="177">
        <f>SUMIF('数据-汇总表'!C$19:C$33,'数据-取费表'!A15,'数据-汇总表'!E$19:E$33)</f>
        <v>0</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4"/>
      <c r="AH15" s="2172"/>
      <c r="AI15" s="1502"/>
      <c r="AJ15" s="1502"/>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6" t="s">
        <v>262</v>
      </c>
      <c r="B16" s="197"/>
      <c r="C16" s="198"/>
      <c r="D16" s="199"/>
      <c r="E16" s="197"/>
      <c r="F16" s="197"/>
      <c r="G16" s="200">
        <f>ROUND(SUMPRODUCT(G6:G13,K6:K13)/SUMPRODUCT((G6:G13&gt;0)*(K6:K13)),3)</f>
        <v>0.96499999999999997</v>
      </c>
      <c r="H16" s="201">
        <f>ROUND(SUMPRODUCT(H6:H13,K6:K13)/SUMPRODUCT((H6:H13&gt;0)*(K6:K13)),3)</f>
        <v>4.8000000000000001E-2</v>
      </c>
      <c r="I16" s="202"/>
      <c r="J16" s="202"/>
      <c r="K16" s="203">
        <f>SUM(K6:K15)</f>
        <v>197089.87</v>
      </c>
      <c r="L16" s="204">
        <f>ROUND(M16*10000/SUM(K6:K14),0)</f>
        <v>3788</v>
      </c>
      <c r="M16" s="204">
        <f>SUM(M6:M14)</f>
        <v>74659</v>
      </c>
      <c r="N16" s="205">
        <f>ROUND(SUMPRODUCT(M6:M14,N6:N14)/M16,3)</f>
        <v>0</v>
      </c>
      <c r="O16" s="204">
        <f>SUM(O6:O14)</f>
        <v>0</v>
      </c>
      <c r="P16" s="204">
        <f>SUM(P6:P14)</f>
        <v>74659</v>
      </c>
      <c r="Q16" s="206">
        <f>ROUND(SUMPRODUCT(Q6:Q13,K6:K13)/SUMPRODUCT((Q6:Q13&gt;0)*(K6:K13)),2)</f>
        <v>0.18</v>
      </c>
      <c r="R16" s="2187">
        <f>SUM(R6:R13)</f>
        <v>19463.219999999998</v>
      </c>
      <c r="S16" s="207">
        <f>SUM(S6:S13)</f>
        <v>15966.11</v>
      </c>
      <c r="T16" s="208">
        <f>IF(SUMIF(T6:T13,"&lt;9E307")=M14,SUMIF(T6:T13,"&lt;9E307"),"有误，请检查")</f>
        <v>4790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5">
        <f>ROUND(SUMPRODUCT(AP6:AP13,K6:K13)/SUMPRODUCT((AP6:AP13&gt;0)*(K6:K13)),3)</f>
        <v>0.81699999999999995</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403" t="s">
        <v>3478</v>
      </c>
      <c r="W18" s="3403" t="s">
        <v>3492</v>
      </c>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2980</v>
      </c>
      <c r="D19" s="3090"/>
      <c r="E19" s="3089"/>
      <c r="F19" s="3089"/>
      <c r="G19" s="3089"/>
      <c r="H19" s="3089"/>
      <c r="I19" s="3089"/>
      <c r="J19" s="3089"/>
      <c r="K19" s="3088"/>
      <c r="L19" s="3088">
        <f>(80592.51*0.967+39694.82*0.967+22420*0.97+38416.43*0.958)/(80592.51+39694.82+22420+38416.43)</f>
        <v>0.96546244429775541</v>
      </c>
      <c r="M19" s="3086"/>
      <c r="N19" s="3086"/>
      <c r="O19" s="3086"/>
      <c r="P19" s="3086"/>
      <c r="Q19" s="3086"/>
      <c r="R19" s="3086"/>
      <c r="S19" s="3086"/>
      <c r="T19" s="1904"/>
      <c r="U19" s="3403" t="s">
        <v>3479</v>
      </c>
      <c r="V19" s="3086">
        <v>8.1999999999999993</v>
      </c>
      <c r="W19" s="3087"/>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3</v>
      </c>
      <c r="C20" s="3101" t="s">
        <v>2321</v>
      </c>
      <c r="D20" s="3090"/>
      <c r="E20" s="3089"/>
      <c r="F20" s="3089"/>
      <c r="G20" s="3089"/>
      <c r="H20" s="3089"/>
      <c r="I20" s="3089"/>
      <c r="J20" s="3089"/>
      <c r="K20" s="3088"/>
      <c r="L20" s="3088"/>
      <c r="M20" s="3086"/>
      <c r="N20" s="3086"/>
      <c r="O20" s="3086"/>
      <c r="P20" s="3086"/>
      <c r="Q20" s="3086"/>
      <c r="R20" s="3086"/>
      <c r="S20" s="3086"/>
      <c r="T20" s="3086"/>
      <c r="U20" s="3403" t="s">
        <v>3480</v>
      </c>
      <c r="V20" s="3086">
        <f>V19*W20</f>
        <v>5.7399999999999993</v>
      </c>
      <c r="W20" s="3087">
        <v>0.7</v>
      </c>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403" t="s">
        <v>3481</v>
      </c>
      <c r="V21" s="3086">
        <f>V19*W21</f>
        <v>4.919999999999999</v>
      </c>
      <c r="W21" s="3086">
        <v>0.6</v>
      </c>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3</v>
      </c>
      <c r="C22" s="3089"/>
      <c r="D22" s="3090"/>
      <c r="E22" s="3089"/>
      <c r="F22" s="3089"/>
      <c r="G22" s="3089"/>
      <c r="H22" s="3089"/>
      <c r="I22" s="3089"/>
      <c r="J22" s="3089"/>
      <c r="K22" s="3795">
        <f>(80592.51*20%+39694.82*20%+22420*20%+38416.43*10%)/(80592.51+39694.82+22420+38416.43)</f>
        <v>0.17878995555304286</v>
      </c>
      <c r="L22" s="3088"/>
      <c r="M22" s="3086"/>
      <c r="N22" s="3086"/>
      <c r="O22" s="3086"/>
      <c r="P22" s="3086"/>
      <c r="Q22" s="3086"/>
      <c r="R22" s="3086"/>
      <c r="S22" s="3086"/>
      <c r="T22" s="3086"/>
      <c r="U22" s="3403" t="s">
        <v>3491</v>
      </c>
      <c r="V22" s="3086">
        <f>V19*W22</f>
        <v>4.0999999999999996</v>
      </c>
      <c r="W22" s="3087">
        <v>0.5</v>
      </c>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403" t="s">
        <v>3493</v>
      </c>
      <c r="V23" s="3086">
        <f>(V19+V20+V21)/3</f>
        <v>6.2866666666666653</v>
      </c>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3</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403" t="s">
        <v>3532</v>
      </c>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469" t="s">
        <v>3533</v>
      </c>
      <c r="V26" s="3471">
        <f>'数据-汇总表'!G21</f>
        <v>5513.06</v>
      </c>
      <c r="W26" s="3470">
        <v>0.6</v>
      </c>
      <c r="X26" s="3469">
        <f>W26*X27</f>
        <v>3</v>
      </c>
      <c r="Y26" s="3469">
        <f>ROUND(V26/$V$22,2)</f>
        <v>1344.65</v>
      </c>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4" t="s">
        <v>2323</v>
      </c>
      <c r="B27" s="225">
        <v>120</v>
      </c>
      <c r="C27" s="3102" t="s">
        <v>2981</v>
      </c>
      <c r="D27" s="3093"/>
      <c r="E27" s="3094"/>
      <c r="F27" s="3094"/>
      <c r="G27" s="3089"/>
      <c r="H27" s="3089"/>
      <c r="I27" s="3089"/>
      <c r="J27" s="3089"/>
      <c r="K27" s="3088"/>
      <c r="L27" s="3088"/>
      <c r="M27" s="3086"/>
      <c r="N27" s="3086"/>
      <c r="O27" s="3086"/>
      <c r="P27" s="3086"/>
      <c r="Q27" s="3086"/>
      <c r="R27" s="3086"/>
      <c r="S27" s="3086"/>
      <c r="T27" s="3086"/>
      <c r="U27" s="3469" t="s">
        <v>3534</v>
      </c>
      <c r="V27" s="3471">
        <f>ROUND('数据-汇总表'!F21/3,2)</f>
        <v>5635.65</v>
      </c>
      <c r="W27" s="3469">
        <v>1</v>
      </c>
      <c r="X27" s="3469">
        <v>5</v>
      </c>
      <c r="Y27" s="3469">
        <f t="shared" ref="Y27:Y29" si="9">ROUND(V27/$V$22,2)</f>
        <v>1374.55</v>
      </c>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6" t="s">
        <v>2324</v>
      </c>
      <c r="B28" s="227">
        <v>120</v>
      </c>
      <c r="C28" s="3095"/>
      <c r="D28" s="3093"/>
      <c r="E28" s="3094"/>
      <c r="F28" s="3094"/>
      <c r="G28" s="3089"/>
      <c r="H28" s="3089"/>
      <c r="I28" s="3089"/>
      <c r="J28" s="3089"/>
      <c r="K28" s="3088"/>
      <c r="L28" s="3088"/>
      <c r="M28" s="3086"/>
      <c r="N28" s="3086"/>
      <c r="O28" s="3086"/>
      <c r="P28" s="3086"/>
      <c r="Q28" s="3086"/>
      <c r="R28" s="3086"/>
      <c r="S28" s="3086"/>
      <c r="T28" s="3086"/>
      <c r="U28" s="3469" t="s">
        <v>3535</v>
      </c>
      <c r="V28" s="3471">
        <f>V27</f>
        <v>5635.65</v>
      </c>
      <c r="W28" s="3469">
        <v>0.7</v>
      </c>
      <c r="X28" s="3469">
        <f>X27*W28</f>
        <v>3.5</v>
      </c>
      <c r="Y28" s="3469">
        <f t="shared" si="9"/>
        <v>1374.55</v>
      </c>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9" t="s">
        <v>2322</v>
      </c>
      <c r="B29" s="230"/>
      <c r="C29" s="3103" t="s">
        <v>2325</v>
      </c>
      <c r="D29" s="3093"/>
      <c r="E29" s="3094"/>
      <c r="F29" s="3094"/>
      <c r="G29" s="3089"/>
      <c r="H29" s="3089"/>
      <c r="I29" s="3089"/>
      <c r="J29" s="3089"/>
      <c r="K29" s="3088"/>
      <c r="L29" s="3088"/>
      <c r="M29" s="3086"/>
      <c r="N29" s="3086"/>
      <c r="O29" s="3086"/>
      <c r="P29" s="3086"/>
      <c r="Q29" s="3086"/>
      <c r="R29" s="3086"/>
      <c r="S29" s="3086"/>
      <c r="T29" s="3086"/>
      <c r="U29" s="3469" t="s">
        <v>3536</v>
      </c>
      <c r="V29" s="3471">
        <f>'数据-汇总表'!F21-'数据-取费表'!V27-'数据-取费表'!V28</f>
        <v>5635.6399999999994</v>
      </c>
      <c r="W29" s="3469">
        <v>0.6</v>
      </c>
      <c r="X29" s="3469">
        <f>X27*W29</f>
        <v>3</v>
      </c>
      <c r="Y29" s="3469">
        <f t="shared" si="9"/>
        <v>1374.55</v>
      </c>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469"/>
      <c r="V30" s="3469">
        <f>V26+V27+V28+V29</f>
        <v>22420</v>
      </c>
      <c r="W30" s="3469"/>
      <c r="X30" s="3469">
        <f>(X26+X27+X28+X29)/4</f>
        <v>3.625</v>
      </c>
      <c r="Y30" s="3469"/>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6" t="s">
        <v>274</v>
      </c>
      <c r="B31" s="228">
        <f>B30-B32</f>
        <v>100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5" t="s">
        <v>275</v>
      </c>
      <c r="B32" s="3797">
        <v>100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4" t="s">
        <v>278</v>
      </c>
      <c r="B33" s="1326">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231">
        <v>0.05</v>
      </c>
      <c r="C34" s="3104" t="s">
        <v>2970</v>
      </c>
      <c r="D34" s="3105" t="s">
        <v>2977</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2436</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27.75" thickBot="1">
      <c r="A40" s="3282" t="s">
        <v>3537</v>
      </c>
      <c r="B40" s="2330">
        <f ca="1">IF(A40="利息：取LPR",存贷款利率!E2,存贷款利率!E2+C40)</f>
        <v>4.3499999999999997E-2</v>
      </c>
      <c r="C40" s="3283">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2978</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2974</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2975</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c r="C47" s="3102" t="s">
        <v>2982</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0.04</v>
      </c>
      <c r="C48" s="3107" t="s">
        <v>2974</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2976</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6</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1316</v>
      </c>
      <c r="C53" s="3097" t="s">
        <v>2865</v>
      </c>
      <c r="D53" s="3108" t="s">
        <v>2979</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2866</v>
      </c>
      <c r="B54" s="184">
        <v>10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2867</v>
      </c>
      <c r="B55" s="184">
        <v>8</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2868</v>
      </c>
      <c r="B56" s="184">
        <v>6</v>
      </c>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2869</v>
      </c>
      <c r="B57" s="184">
        <v>4</v>
      </c>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2870</v>
      </c>
      <c r="B58" s="184">
        <v>2.4</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2871</v>
      </c>
      <c r="B59" s="184">
        <v>2</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2872</v>
      </c>
      <c r="B60" s="184">
        <v>1.6</v>
      </c>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2873</v>
      </c>
      <c r="B61" s="184">
        <v>1.2</v>
      </c>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2874</v>
      </c>
      <c r="B62" s="184">
        <v>1</v>
      </c>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2875</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1"/>
      <c r="D64" s="1905"/>
      <c r="K64" s="57"/>
      <c r="L64" s="57"/>
    </row>
    <row r="65" spans="1:12" s="1904" customFormat="1">
      <c r="A65" s="251"/>
      <c r="D65" s="1905"/>
      <c r="K65" s="57"/>
      <c r="L65" s="57"/>
    </row>
    <row r="66" spans="1:12" s="1904" customFormat="1">
      <c r="A66" s="251"/>
      <c r="D66" s="1905"/>
      <c r="K66" s="57"/>
      <c r="L66" s="57"/>
    </row>
    <row r="67" spans="1:12" s="1904" customFormat="1">
      <c r="A67" s="251"/>
      <c r="D67" s="1905"/>
      <c r="K67" s="57"/>
      <c r="L67" s="57"/>
    </row>
    <row r="68" spans="1:12" s="1904" customFormat="1">
      <c r="A68" s="251"/>
      <c r="D68" s="1905"/>
      <c r="K68" s="57"/>
      <c r="L68" s="57"/>
    </row>
    <row r="69" spans="1:12" s="1904" customFormat="1">
      <c r="A69" s="251"/>
      <c r="D69" s="1905"/>
      <c r="K69" s="57"/>
      <c r="L69" s="57"/>
    </row>
    <row r="70" spans="1:12" s="1904" customFormat="1">
      <c r="A70" s="251"/>
      <c r="D70" s="1905"/>
      <c r="K70" s="57"/>
      <c r="L70" s="57"/>
    </row>
    <row r="71" spans="1:12" s="1904" customFormat="1">
      <c r="A71" s="251"/>
      <c r="D71" s="1905"/>
      <c r="K71" s="57"/>
      <c r="L71" s="57"/>
    </row>
    <row r="72" spans="1:12" s="1904" customFormat="1">
      <c r="A72" s="251"/>
      <c r="D72" s="1905"/>
      <c r="K72" s="57"/>
      <c r="L72" s="57"/>
    </row>
    <row r="73" spans="1:12" s="1904" customFormat="1">
      <c r="A73" s="251"/>
      <c r="D73" s="1905"/>
      <c r="K73" s="57"/>
      <c r="L73" s="57"/>
    </row>
    <row r="74" spans="1:12" s="1904" customFormat="1">
      <c r="A74" s="251"/>
      <c r="D74" s="1905"/>
      <c r="K74" s="57"/>
      <c r="L74" s="57"/>
    </row>
    <row r="75" spans="1:12" s="1904" customFormat="1">
      <c r="A75" s="251"/>
      <c r="D75" s="1905"/>
      <c r="K75" s="57"/>
      <c r="L75" s="57"/>
    </row>
    <row r="76" spans="1:12" s="1904" customFormat="1">
      <c r="A76" s="251"/>
      <c r="D76" s="1905"/>
      <c r="K76" s="57"/>
      <c r="L76" s="57"/>
    </row>
    <row r="77" spans="1:12" s="1904" customFormat="1">
      <c r="A77" s="251"/>
      <c r="D77" s="1905"/>
      <c r="K77" s="57"/>
      <c r="L77" s="57"/>
    </row>
    <row r="78" spans="1:12" s="1904" customFormat="1">
      <c r="A78" s="251"/>
      <c r="D78" s="1905"/>
      <c r="K78" s="57"/>
      <c r="L78" s="57"/>
    </row>
    <row r="79" spans="1:12" s="1904" customFormat="1">
      <c r="A79" s="251"/>
      <c r="D79" s="1905"/>
      <c r="K79" s="57"/>
      <c r="L79" s="57"/>
    </row>
    <row r="80" spans="1:12" s="1904" customFormat="1">
      <c r="A80" s="251"/>
      <c r="D80" s="1905"/>
      <c r="K80" s="57"/>
      <c r="L80" s="57"/>
    </row>
    <row r="81" spans="1:12" s="1904" customFormat="1">
      <c r="A81" s="251"/>
      <c r="D81" s="1905"/>
      <c r="K81" s="57"/>
      <c r="L81" s="57"/>
    </row>
    <row r="82" spans="1:12" s="1904" customFormat="1">
      <c r="A82" s="251"/>
      <c r="D82" s="1905"/>
      <c r="K82" s="57"/>
      <c r="L82" s="57"/>
    </row>
    <row r="83" spans="1:12" s="1904" customFormat="1">
      <c r="A83" s="251"/>
      <c r="D83" s="1905"/>
      <c r="K83" s="57"/>
      <c r="L83" s="57"/>
    </row>
    <row r="84" spans="1:12" s="1904" customFormat="1">
      <c r="A84" s="251"/>
      <c r="D84" s="1905"/>
      <c r="K84" s="57"/>
      <c r="L84" s="57"/>
    </row>
    <row r="85" spans="1:12" s="1904" customFormat="1">
      <c r="A85" s="251"/>
      <c r="D85" s="1905"/>
      <c r="K85" s="57"/>
      <c r="L85" s="57"/>
    </row>
    <row r="86" spans="1:12" s="1904" customFormat="1">
      <c r="A86" s="251"/>
      <c r="D86" s="1905"/>
      <c r="K86" s="57"/>
      <c r="L86" s="57"/>
    </row>
    <row r="87" spans="1:12" s="1904" customFormat="1">
      <c r="A87" s="251"/>
      <c r="D87" s="1905"/>
      <c r="K87" s="57"/>
      <c r="L87" s="57"/>
    </row>
    <row r="88" spans="1:12" s="1904" customFormat="1">
      <c r="A88" s="251"/>
      <c r="D88" s="1905"/>
      <c r="K88" s="57"/>
      <c r="L88" s="57"/>
    </row>
    <row r="89" spans="1:12" s="1904" customFormat="1">
      <c r="A89" s="251"/>
      <c r="D89" s="1905"/>
      <c r="K89" s="57"/>
      <c r="L89" s="57"/>
    </row>
    <row r="90" spans="1:12" s="1904" customFormat="1">
      <c r="A90" s="251"/>
      <c r="D90" s="1905"/>
      <c r="K90" s="57"/>
      <c r="L90" s="57"/>
    </row>
    <row r="91" spans="1:12" s="1904" customFormat="1">
      <c r="A91" s="251"/>
      <c r="D91" s="1905"/>
      <c r="K91" s="57"/>
      <c r="L91" s="57"/>
    </row>
    <row r="92" spans="1:12" s="1904" customFormat="1">
      <c r="A92" s="251"/>
      <c r="D92" s="1905"/>
      <c r="K92" s="57"/>
      <c r="L92" s="57"/>
    </row>
    <row r="93" spans="1:12" s="1904" customFormat="1">
      <c r="A93" s="251"/>
      <c r="D93" s="1905"/>
      <c r="K93" s="57"/>
      <c r="L93" s="57"/>
    </row>
    <row r="94" spans="1:12" s="1904" customFormat="1">
      <c r="A94" s="251"/>
      <c r="D94" s="1905"/>
      <c r="K94" s="57"/>
      <c r="L94" s="57"/>
    </row>
    <row r="95" spans="1:12" s="1904" customFormat="1">
      <c r="A95" s="251"/>
      <c r="D95" s="1905"/>
      <c r="K95" s="57"/>
      <c r="L95" s="57"/>
    </row>
    <row r="96" spans="1:12" s="1904" customFormat="1">
      <c r="A96" s="251"/>
      <c r="D96" s="1905"/>
      <c r="K96" s="57"/>
      <c r="L96" s="57"/>
    </row>
    <row r="97" spans="1:12" s="1904" customFormat="1">
      <c r="A97" s="251"/>
      <c r="D97" s="1905"/>
      <c r="K97" s="57"/>
      <c r="L97" s="57"/>
    </row>
    <row r="98" spans="1:12" s="1904" customFormat="1">
      <c r="A98" s="251"/>
      <c r="D98" s="1905"/>
      <c r="K98" s="57"/>
      <c r="L98" s="57"/>
    </row>
    <row r="99" spans="1:12" s="1904" customFormat="1">
      <c r="A99" s="251"/>
      <c r="D99" s="1905"/>
      <c r="K99" s="57"/>
      <c r="L99" s="57"/>
    </row>
    <row r="100" spans="1:12" s="1904" customFormat="1">
      <c r="A100" s="251"/>
      <c r="D100" s="1905"/>
      <c r="K100" s="57"/>
      <c r="L100" s="57"/>
    </row>
    <row r="101" spans="1:12" s="1904" customFormat="1">
      <c r="A101" s="251"/>
      <c r="D101" s="1905"/>
      <c r="K101" s="57"/>
      <c r="L101" s="57"/>
    </row>
    <row r="102" spans="1:12" s="1904" customFormat="1">
      <c r="A102" s="251"/>
      <c r="D102" s="1905"/>
      <c r="K102" s="57"/>
      <c r="L102" s="57"/>
    </row>
    <row r="103" spans="1:12" s="1904" customFormat="1">
      <c r="A103" s="251"/>
      <c r="D103" s="1905"/>
      <c r="K103" s="57"/>
      <c r="L103" s="57"/>
    </row>
    <row r="104" spans="1:12" s="1904" customFormat="1">
      <c r="A104" s="251"/>
      <c r="D104" s="1905"/>
      <c r="K104" s="57"/>
      <c r="L104" s="57"/>
    </row>
    <row r="105" spans="1:12" s="1904" customFormat="1">
      <c r="A105" s="251"/>
      <c r="D105" s="1905"/>
      <c r="K105" s="57"/>
      <c r="L105" s="57"/>
    </row>
    <row r="106" spans="1:12" s="1904" customFormat="1">
      <c r="A106" s="251"/>
      <c r="D106" s="1905"/>
      <c r="K106" s="57"/>
      <c r="L106" s="57"/>
    </row>
    <row r="107" spans="1:12" s="1904" customFormat="1">
      <c r="A107" s="251"/>
      <c r="D107" s="1905"/>
      <c r="K107" s="57"/>
      <c r="L107" s="57"/>
    </row>
    <row r="108" spans="1:12" s="1904" customFormat="1">
      <c r="A108" s="251"/>
      <c r="D108" s="1905"/>
      <c r="K108" s="57"/>
      <c r="L108" s="57"/>
    </row>
    <row r="109" spans="1:12" s="1904" customFormat="1">
      <c r="A109" s="251"/>
      <c r="D109" s="1905"/>
      <c r="K109" s="57"/>
      <c r="L109" s="57"/>
    </row>
    <row r="110" spans="1:12" s="1904" customFormat="1">
      <c r="A110" s="251"/>
      <c r="D110" s="1905"/>
      <c r="K110" s="57"/>
      <c r="L110" s="57"/>
    </row>
    <row r="111" spans="1:12" s="1904" customFormat="1">
      <c r="A111" s="251"/>
      <c r="D111" s="1905"/>
      <c r="K111" s="57"/>
      <c r="L111" s="57"/>
    </row>
    <row r="112" spans="1:12" s="1904" customFormat="1">
      <c r="A112" s="251"/>
      <c r="D112" s="1905"/>
      <c r="K112" s="57"/>
      <c r="L112" s="57"/>
    </row>
    <row r="113" spans="1:12" s="1904" customFormat="1">
      <c r="A113" s="251"/>
      <c r="D113" s="1905"/>
      <c r="K113" s="57"/>
      <c r="L113" s="57"/>
    </row>
    <row r="114" spans="1:12" s="1904" customFormat="1">
      <c r="A114" s="251"/>
      <c r="D114" s="1905"/>
      <c r="K114" s="57"/>
      <c r="L114" s="57"/>
    </row>
    <row r="115" spans="1:12" s="1904" customFormat="1">
      <c r="A115" s="251"/>
      <c r="D115" s="1905"/>
      <c r="K115" s="57"/>
      <c r="L115" s="57"/>
    </row>
    <row r="116" spans="1:12" s="1904" customFormat="1">
      <c r="A116" s="251"/>
      <c r="D116" s="1905"/>
      <c r="K116" s="57"/>
      <c r="L116" s="57"/>
    </row>
    <row r="117" spans="1:12" s="1904" customFormat="1">
      <c r="A117" s="251"/>
      <c r="D117" s="1905"/>
      <c r="K117" s="57"/>
      <c r="L117" s="57"/>
    </row>
    <row r="118" spans="1:12" s="1904" customFormat="1">
      <c r="A118" s="251"/>
      <c r="D118" s="1905"/>
      <c r="K118" s="57"/>
      <c r="L118" s="57"/>
    </row>
    <row r="119" spans="1:12" s="1904" customFormat="1">
      <c r="A119" s="251"/>
      <c r="D119" s="1905"/>
      <c r="K119" s="57"/>
      <c r="L119" s="57"/>
    </row>
    <row r="120" spans="1:12" s="1904" customFormat="1">
      <c r="A120" s="251"/>
      <c r="D120" s="1905"/>
      <c r="K120" s="57"/>
      <c r="L120" s="57"/>
    </row>
    <row r="121" spans="1:12" s="1904" customFormat="1">
      <c r="A121" s="251"/>
      <c r="D121" s="1905"/>
      <c r="K121" s="57"/>
      <c r="L121" s="57"/>
    </row>
    <row r="122" spans="1:12" s="1904" customFormat="1">
      <c r="A122" s="251"/>
      <c r="D122" s="1905"/>
      <c r="K122" s="57"/>
      <c r="L122" s="57"/>
    </row>
    <row r="123" spans="1:12" s="1904" customFormat="1">
      <c r="A123" s="251"/>
      <c r="D123" s="1905"/>
      <c r="K123" s="57"/>
      <c r="L123" s="57"/>
    </row>
    <row r="124" spans="1:12" s="1904" customFormat="1">
      <c r="A124" s="251"/>
      <c r="D124" s="1905"/>
      <c r="K124" s="57"/>
      <c r="L124" s="57"/>
    </row>
    <row r="125" spans="1:12" s="1904" customFormat="1">
      <c r="A125" s="251"/>
      <c r="D125" s="1905"/>
      <c r="K125" s="57"/>
      <c r="L125" s="57"/>
    </row>
    <row r="126" spans="1:12" s="1904" customFormat="1">
      <c r="A126" s="251"/>
      <c r="D126" s="1905"/>
      <c r="K126" s="57"/>
      <c r="L126" s="57"/>
    </row>
    <row r="127" spans="1:12" s="1904" customFormat="1">
      <c r="A127" s="251"/>
      <c r="D127" s="1905"/>
      <c r="K127" s="57"/>
      <c r="L127" s="57"/>
    </row>
    <row r="128" spans="1:12" s="1904" customFormat="1">
      <c r="A128" s="251"/>
      <c r="D128" s="1905"/>
      <c r="K128" s="57"/>
      <c r="L128" s="57"/>
    </row>
    <row r="129" spans="1:12" s="1904" customFormat="1">
      <c r="A129" s="251"/>
      <c r="D129" s="1905"/>
      <c r="K129" s="57"/>
      <c r="L129" s="57"/>
    </row>
    <row r="130" spans="1:12" s="1904" customFormat="1">
      <c r="A130" s="251"/>
      <c r="D130" s="1905"/>
      <c r="K130" s="57"/>
      <c r="L130" s="57"/>
    </row>
    <row r="131" spans="1:12" s="1904" customFormat="1">
      <c r="A131" s="251"/>
      <c r="D131" s="1905"/>
      <c r="K131" s="57"/>
      <c r="L131" s="57"/>
    </row>
    <row r="132" spans="1:12" s="1904" customFormat="1">
      <c r="A132" s="251"/>
      <c r="D132" s="1905"/>
      <c r="K132" s="57"/>
      <c r="L132" s="57"/>
    </row>
    <row r="133" spans="1:12" s="1904" customFormat="1">
      <c r="A133" s="251"/>
      <c r="D133" s="1905"/>
      <c r="K133" s="57"/>
      <c r="L133" s="57"/>
    </row>
    <row r="134" spans="1:12" s="1904" customFormat="1">
      <c r="A134" s="251"/>
      <c r="D134" s="1905"/>
      <c r="K134" s="57"/>
      <c r="L134" s="57"/>
    </row>
    <row r="135" spans="1:12" s="1904" customFormat="1">
      <c r="A135" s="251"/>
      <c r="D135" s="1905"/>
      <c r="K135" s="57"/>
      <c r="L135" s="57"/>
    </row>
    <row r="136" spans="1:12" s="1904" customFormat="1">
      <c r="A136" s="251"/>
      <c r="D136" s="1905"/>
      <c r="K136" s="57"/>
      <c r="L136" s="57"/>
    </row>
    <row r="137" spans="1:12" s="1904" customFormat="1">
      <c r="A137" s="251"/>
      <c r="D137" s="1905"/>
      <c r="K137" s="57"/>
      <c r="L137" s="57"/>
    </row>
    <row r="138" spans="1:12" s="1904" customFormat="1">
      <c r="A138" s="251"/>
      <c r="D138" s="1905"/>
      <c r="K138" s="57"/>
      <c r="L138" s="57"/>
    </row>
    <row r="139" spans="1:12" s="1904" customFormat="1">
      <c r="A139" s="251"/>
      <c r="D139" s="1905"/>
      <c r="K139" s="57"/>
      <c r="L139" s="57"/>
    </row>
    <row r="140" spans="1:12" s="1904" customFormat="1">
      <c r="A140" s="251"/>
      <c r="D140" s="1905"/>
      <c r="K140" s="57"/>
      <c r="L140" s="57"/>
    </row>
    <row r="141" spans="1:12" s="1904" customFormat="1">
      <c r="A141" s="251"/>
      <c r="D141" s="1905"/>
      <c r="K141" s="57"/>
      <c r="L141" s="57"/>
    </row>
    <row r="142" spans="1:12" s="1904" customFormat="1">
      <c r="A142" s="251"/>
      <c r="D142" s="1905"/>
      <c r="K142" s="57"/>
      <c r="L142" s="57"/>
    </row>
    <row r="143" spans="1:12" s="1904" customFormat="1">
      <c r="A143" s="251"/>
      <c r="D143" s="1905"/>
      <c r="K143" s="57"/>
      <c r="L143" s="57"/>
    </row>
    <row r="144" spans="1:12" s="1904" customFormat="1">
      <c r="A144" s="251"/>
      <c r="D144" s="1905"/>
      <c r="K144" s="57"/>
      <c r="L144" s="57"/>
    </row>
    <row r="145" spans="1:12" s="1904" customFormat="1">
      <c r="A145" s="251"/>
      <c r="D145" s="1905"/>
      <c r="K145" s="57"/>
      <c r="L145" s="57"/>
    </row>
    <row r="146" spans="1:12" s="1904" customFormat="1">
      <c r="A146" s="251"/>
      <c r="D146" s="1905"/>
      <c r="K146" s="57"/>
      <c r="L146" s="57"/>
    </row>
    <row r="147" spans="1:12" s="1904" customFormat="1">
      <c r="A147" s="251"/>
      <c r="D147" s="1905"/>
      <c r="K147" s="57"/>
      <c r="L147" s="57"/>
    </row>
    <row r="148" spans="1:12" s="1904" customFormat="1">
      <c r="A148" s="251"/>
      <c r="D148" s="1905"/>
      <c r="K148" s="57"/>
      <c r="L148" s="57"/>
    </row>
    <row r="149" spans="1:12" s="1904" customFormat="1">
      <c r="A149" s="251"/>
      <c r="D149" s="1905"/>
      <c r="K149" s="57"/>
      <c r="L149" s="57"/>
    </row>
    <row r="150" spans="1:12" s="1904" customFormat="1">
      <c r="A150" s="251"/>
      <c r="D150" s="1905"/>
      <c r="K150" s="57"/>
      <c r="L150" s="57"/>
    </row>
    <row r="151" spans="1:12" s="1904" customFormat="1">
      <c r="A151" s="251"/>
      <c r="D151" s="1905"/>
      <c r="K151" s="57"/>
      <c r="L151" s="57"/>
    </row>
    <row r="152" spans="1:12" s="1904" customFormat="1">
      <c r="A152" s="251"/>
      <c r="D152" s="1905"/>
      <c r="K152" s="57"/>
      <c r="L152" s="57"/>
    </row>
    <row r="153" spans="1:12" s="1904" customFormat="1">
      <c r="A153" s="251"/>
      <c r="D153" s="1905"/>
      <c r="K153" s="57"/>
      <c r="L153" s="57"/>
    </row>
    <row r="154" spans="1:12" s="1904" customFormat="1">
      <c r="A154" s="251"/>
      <c r="D154" s="1905"/>
      <c r="K154" s="57"/>
      <c r="L154" s="57"/>
    </row>
    <row r="155" spans="1:12" s="1904" customFormat="1">
      <c r="A155" s="251"/>
      <c r="D155" s="1905"/>
      <c r="K155" s="57"/>
      <c r="L155" s="57"/>
    </row>
    <row r="156" spans="1:12" s="1904" customFormat="1">
      <c r="A156" s="251"/>
      <c r="D156" s="1905"/>
      <c r="K156" s="57"/>
      <c r="L156" s="57"/>
    </row>
    <row r="157" spans="1:12" s="1904" customFormat="1">
      <c r="A157" s="251"/>
      <c r="D157" s="1905"/>
      <c r="K157" s="57"/>
      <c r="L157" s="57"/>
    </row>
    <row r="158" spans="1:12" s="1904" customFormat="1">
      <c r="A158" s="251"/>
      <c r="D158" s="1905"/>
      <c r="K158" s="57"/>
      <c r="L158" s="57"/>
    </row>
    <row r="159" spans="1:12" s="1904" customFormat="1">
      <c r="A159" s="251"/>
      <c r="D159" s="1905"/>
      <c r="K159" s="57"/>
      <c r="L159" s="57"/>
    </row>
    <row r="160" spans="1:12" s="1904" customFormat="1">
      <c r="A160" s="251"/>
      <c r="D160" s="1905"/>
      <c r="K160" s="57"/>
      <c r="L160" s="57"/>
    </row>
    <row r="161" spans="1:12" s="1904" customFormat="1">
      <c r="A161" s="251"/>
      <c r="D161" s="1905"/>
      <c r="K161" s="57"/>
      <c r="L161" s="57"/>
    </row>
    <row r="162" spans="1:12" s="1904" customFormat="1">
      <c r="A162" s="251"/>
      <c r="D162" s="1905"/>
      <c r="K162" s="57"/>
      <c r="L162" s="57"/>
    </row>
    <row r="163" spans="1:12" s="1904" customFormat="1">
      <c r="A163" s="251"/>
      <c r="D163" s="1905"/>
      <c r="K163" s="57"/>
      <c r="L163" s="57"/>
    </row>
    <row r="164" spans="1:12" s="1904" customFormat="1">
      <c r="A164" s="251"/>
      <c r="D164" s="1905"/>
      <c r="K164" s="57"/>
      <c r="L164" s="57"/>
    </row>
    <row r="165" spans="1:12" s="1904" customFormat="1">
      <c r="A165" s="251"/>
      <c r="D165" s="1905"/>
      <c r="K165" s="57"/>
      <c r="L165" s="57"/>
    </row>
    <row r="166" spans="1:12" s="1904" customFormat="1">
      <c r="A166" s="251"/>
      <c r="D166" s="1905"/>
      <c r="K166" s="57"/>
      <c r="L166" s="57"/>
    </row>
    <row r="167" spans="1:12" s="1904" customFormat="1">
      <c r="A167" s="251"/>
      <c r="D167" s="1905"/>
      <c r="K167" s="57"/>
      <c r="L167" s="57"/>
    </row>
    <row r="168" spans="1:12" s="1904" customFormat="1">
      <c r="A168" s="251"/>
      <c r="D168" s="1905"/>
      <c r="K168" s="57"/>
      <c r="L168" s="57"/>
    </row>
    <row r="169" spans="1:12" s="1904" customFormat="1">
      <c r="A169" s="251"/>
      <c r="D169" s="1905"/>
      <c r="K169" s="57"/>
      <c r="L169" s="57"/>
    </row>
    <row r="170" spans="1:12" s="1904" customFormat="1">
      <c r="A170" s="251"/>
      <c r="D170" s="1905"/>
      <c r="K170" s="57"/>
      <c r="L170" s="57"/>
    </row>
    <row r="171" spans="1:12" s="1904" customFormat="1">
      <c r="A171" s="251"/>
      <c r="D171" s="1905"/>
      <c r="K171" s="57"/>
      <c r="L171" s="57"/>
    </row>
    <row r="172" spans="1:12" s="1904" customFormat="1">
      <c r="A172" s="251"/>
      <c r="D172" s="1905"/>
      <c r="K172" s="57"/>
      <c r="L172" s="57"/>
    </row>
    <row r="173" spans="1:12" s="1904" customFormat="1">
      <c r="A173" s="251"/>
      <c r="D173" s="1905"/>
      <c r="K173" s="57"/>
      <c r="L173" s="57"/>
    </row>
    <row r="174" spans="1:12" s="1904" customFormat="1">
      <c r="A174" s="251"/>
      <c r="D174" s="1905"/>
      <c r="K174" s="57"/>
      <c r="L174" s="57"/>
    </row>
    <row r="175" spans="1:12" s="1904" customFormat="1">
      <c r="A175" s="251"/>
      <c r="D175" s="1905"/>
      <c r="K175" s="57"/>
      <c r="L175" s="57"/>
    </row>
    <row r="176" spans="1:12" s="1904" customFormat="1">
      <c r="A176" s="251"/>
      <c r="D176" s="1905"/>
      <c r="K176" s="57"/>
      <c r="L176" s="57"/>
    </row>
    <row r="177" spans="1:12" s="1904" customFormat="1">
      <c r="A177" s="251"/>
      <c r="D177" s="1905"/>
      <c r="K177" s="57"/>
      <c r="L177" s="57"/>
    </row>
    <row r="178" spans="1:12" s="1904" customFormat="1">
      <c r="A178" s="251"/>
      <c r="D178" s="1905"/>
      <c r="K178" s="57"/>
      <c r="L178" s="57"/>
    </row>
    <row r="179" spans="1:12" s="1904" customFormat="1">
      <c r="A179" s="251"/>
      <c r="D179" s="1905"/>
      <c r="K179" s="57"/>
      <c r="L179" s="57"/>
    </row>
    <row r="180" spans="1:12" s="1904" customFormat="1">
      <c r="A180" s="251"/>
      <c r="D180" s="1905"/>
      <c r="K180" s="57"/>
      <c r="L180" s="57"/>
    </row>
    <row r="181" spans="1:12" s="1904" customFormat="1">
      <c r="A181" s="251"/>
      <c r="D181" s="1905"/>
      <c r="K181" s="57"/>
      <c r="L181" s="57"/>
    </row>
    <row r="182" spans="1:12" s="1904" customFormat="1">
      <c r="A182" s="251"/>
      <c r="D182" s="1905"/>
      <c r="K182" s="57"/>
      <c r="L182" s="57"/>
    </row>
    <row r="183" spans="1:12" s="1904" customFormat="1">
      <c r="A183" s="251"/>
      <c r="D183" s="1905"/>
      <c r="K183" s="57"/>
      <c r="L183" s="57"/>
    </row>
    <row r="184" spans="1:12" s="1904" customFormat="1">
      <c r="A184" s="251"/>
      <c r="D184" s="1905"/>
      <c r="K184" s="57"/>
      <c r="L184" s="57"/>
    </row>
    <row r="185" spans="1:12" s="1904" customFormat="1">
      <c r="A185" s="251"/>
      <c r="D185" s="1905"/>
      <c r="K185" s="57"/>
      <c r="L185" s="57"/>
    </row>
    <row r="186" spans="1:12" s="1904" customFormat="1">
      <c r="A186" s="251"/>
      <c r="D186" s="1905"/>
      <c r="K186" s="57"/>
      <c r="L186" s="57"/>
    </row>
    <row r="187" spans="1:12" s="1904" customFormat="1">
      <c r="A187" s="251"/>
      <c r="D187" s="1905"/>
      <c r="K187" s="57"/>
      <c r="L187" s="57"/>
    </row>
    <row r="188" spans="1:12" s="1904" customFormat="1">
      <c r="A188" s="251"/>
      <c r="D188" s="1905"/>
      <c r="K188" s="57"/>
      <c r="L188" s="57"/>
    </row>
    <row r="189" spans="1:12" s="1904" customFormat="1">
      <c r="A189" s="251"/>
      <c r="D189" s="1905"/>
      <c r="K189" s="57"/>
      <c r="L189" s="57"/>
    </row>
    <row r="190" spans="1:12" s="1904" customFormat="1">
      <c r="A190" s="251"/>
      <c r="D190" s="1905"/>
      <c r="K190" s="57"/>
      <c r="L190" s="57"/>
    </row>
    <row r="191" spans="1:12" s="1904" customFormat="1">
      <c r="A191" s="251"/>
      <c r="D191" s="1905"/>
      <c r="K191" s="57"/>
      <c r="L191" s="57"/>
    </row>
    <row r="192" spans="1:12" s="1904" customFormat="1">
      <c r="A192" s="251"/>
      <c r="D192" s="1905"/>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571" t="s">
        <v>1653</v>
      </c>
      <c r="B1" s="3572"/>
      <c r="C1" s="3572"/>
      <c r="D1" s="3572"/>
      <c r="E1" s="3572"/>
      <c r="F1" s="3572"/>
      <c r="G1" s="3572"/>
      <c r="H1" s="3109"/>
      <c r="I1" s="3110"/>
      <c r="J1" s="3111"/>
      <c r="K1" s="3109"/>
      <c r="L1" s="3110"/>
      <c r="M1" s="3111"/>
      <c r="N1" s="3109"/>
      <c r="O1" s="3110"/>
      <c r="P1" s="3111"/>
      <c r="Q1" s="3112"/>
      <c r="R1" s="3113"/>
    </row>
    <row r="2" spans="1:18" ht="14.25" thickBot="1">
      <c r="A2" s="3115"/>
      <c r="B2" s="3116"/>
      <c r="C2" s="3117" t="s">
        <v>1654</v>
      </c>
      <c r="D2" s="3118"/>
      <c r="E2" s="3115"/>
      <c r="F2" s="3119"/>
      <c r="G2" s="3117" t="s">
        <v>1655</v>
      </c>
      <c r="H2" s="3120"/>
      <c r="I2" s="3120"/>
      <c r="J2" s="3120"/>
      <c r="K2" s="3120"/>
      <c r="L2" s="3120"/>
      <c r="M2" s="3120"/>
      <c r="N2" s="3120"/>
      <c r="O2" s="3120"/>
      <c r="P2" s="3120"/>
      <c r="Q2" s="3120"/>
      <c r="R2" s="3120"/>
    </row>
    <row r="3" spans="1:18" ht="40.5">
      <c r="A3" s="3121" t="s">
        <v>1656</v>
      </c>
      <c r="B3" s="3122" t="s">
        <v>1643</v>
      </c>
      <c r="C3" s="3123" t="s">
        <v>2882</v>
      </c>
      <c r="D3" s="3124"/>
      <c r="E3" s="3125" t="s">
        <v>1656</v>
      </c>
      <c r="F3" s="3126" t="s">
        <v>1644</v>
      </c>
      <c r="G3" s="3127" t="s">
        <v>2881</v>
      </c>
      <c r="H3" s="3120"/>
      <c r="I3" s="3120"/>
      <c r="J3" s="3120"/>
      <c r="K3" s="3120"/>
      <c r="L3" s="3120"/>
      <c r="M3" s="3120"/>
      <c r="N3" s="3120"/>
      <c r="O3" s="3120"/>
      <c r="P3" s="3120"/>
      <c r="Q3" s="3120"/>
      <c r="R3" s="3120"/>
    </row>
    <row r="4" spans="1:18" ht="40.5">
      <c r="A4" s="3125"/>
      <c r="B4" s="3128" t="s">
        <v>1657</v>
      </c>
      <c r="C4" s="3129" t="s">
        <v>2883</v>
      </c>
      <c r="D4" s="3124"/>
      <c r="E4" s="3130"/>
      <c r="F4" s="3131" t="s">
        <v>1658</v>
      </c>
      <c r="G4" s="3132" t="s">
        <v>2878</v>
      </c>
      <c r="H4" s="3120"/>
      <c r="I4" s="3120"/>
      <c r="J4" s="3120"/>
      <c r="K4" s="3120"/>
      <c r="L4" s="3120"/>
      <c r="M4" s="3120"/>
      <c r="N4" s="3120"/>
      <c r="O4" s="3120"/>
      <c r="P4" s="3120"/>
      <c r="Q4" s="3120"/>
      <c r="R4" s="3120"/>
    </row>
    <row r="5" spans="1:18" ht="41.25">
      <c r="A5" s="3125"/>
      <c r="B5" s="3128" t="s">
        <v>1659</v>
      </c>
      <c r="C5" s="3129" t="s">
        <v>2884</v>
      </c>
      <c r="D5" s="3124"/>
      <c r="E5" s="3130"/>
      <c r="F5" s="3128" t="s">
        <v>2525</v>
      </c>
      <c r="G5" s="3132" t="s">
        <v>2879</v>
      </c>
      <c r="H5" s="3120"/>
      <c r="I5" s="3120"/>
      <c r="J5" s="3120"/>
      <c r="K5" s="3120"/>
      <c r="L5" s="3120"/>
      <c r="M5" s="3120"/>
      <c r="N5" s="3120"/>
      <c r="O5" s="3120"/>
      <c r="P5" s="3120"/>
      <c r="Q5" s="3120"/>
      <c r="R5" s="3120"/>
    </row>
    <row r="6" spans="1:18" ht="40.5">
      <c r="A6" s="3125"/>
      <c r="B6" s="3128" t="s">
        <v>1645</v>
      </c>
      <c r="C6" s="3132" t="s">
        <v>2878</v>
      </c>
      <c r="D6" s="3124"/>
      <c r="E6" s="3130"/>
      <c r="F6" s="3128" t="s">
        <v>2526</v>
      </c>
      <c r="G6" s="3132" t="s">
        <v>2876</v>
      </c>
      <c r="H6" s="3120"/>
      <c r="I6" s="3120"/>
      <c r="J6" s="3120"/>
      <c r="K6" s="3120"/>
      <c r="L6" s="3120"/>
      <c r="M6" s="3120"/>
      <c r="N6" s="3120"/>
      <c r="O6" s="3120"/>
      <c r="P6" s="3120"/>
      <c r="Q6" s="3120"/>
      <c r="R6" s="3120"/>
    </row>
    <row r="7" spans="1:18" ht="27.75" thickBot="1">
      <c r="A7" s="3125"/>
      <c r="B7" s="3128" t="s">
        <v>2525</v>
      </c>
      <c r="C7" s="3132" t="s">
        <v>2879</v>
      </c>
      <c r="D7" s="3133"/>
      <c r="E7" s="3134"/>
      <c r="F7" s="3135" t="s">
        <v>1660</v>
      </c>
      <c r="G7" s="3136" t="s">
        <v>2880</v>
      </c>
      <c r="H7" s="3120"/>
      <c r="I7" s="3120"/>
      <c r="J7" s="3120"/>
      <c r="K7" s="3120"/>
      <c r="L7" s="3120"/>
      <c r="M7" s="3120"/>
      <c r="N7" s="3120"/>
      <c r="O7" s="3120"/>
      <c r="P7" s="3120"/>
      <c r="Q7" s="3120"/>
      <c r="R7" s="3120"/>
    </row>
    <row r="8" spans="1:18">
      <c r="A8" s="3125"/>
      <c r="B8" s="3128" t="s">
        <v>2526</v>
      </c>
      <c r="C8" s="3132" t="s">
        <v>2876</v>
      </c>
      <c r="D8" s="3133"/>
      <c r="E8" s="3133"/>
      <c r="F8" s="3137"/>
      <c r="G8" s="3137"/>
      <c r="H8" s="3120"/>
      <c r="I8" s="3120"/>
      <c r="J8" s="3120"/>
      <c r="K8" s="3120"/>
      <c r="L8" s="3120"/>
      <c r="M8" s="3120"/>
      <c r="N8" s="3120"/>
      <c r="O8" s="3120"/>
      <c r="P8" s="3120"/>
      <c r="Q8" s="3120"/>
      <c r="R8" s="3120"/>
    </row>
    <row r="9" spans="1:18" ht="27">
      <c r="A9" s="3125"/>
      <c r="B9" s="3128" t="s">
        <v>1646</v>
      </c>
      <c r="C9" s="3129" t="s">
        <v>2877</v>
      </c>
      <c r="D9" s="3124"/>
      <c r="E9" s="3133"/>
      <c r="F9" s="3137"/>
      <c r="G9" s="3137"/>
      <c r="H9" s="3120"/>
      <c r="I9" s="3120"/>
      <c r="J9" s="3120"/>
      <c r="K9" s="3120"/>
      <c r="L9" s="3120"/>
      <c r="M9" s="3120"/>
      <c r="N9" s="3120"/>
      <c r="O9" s="3120"/>
      <c r="P9" s="3120"/>
      <c r="Q9" s="3120"/>
      <c r="R9" s="3120"/>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1662</v>
      </c>
      <c r="B13" s="3147"/>
      <c r="C13" s="3147"/>
      <c r="D13" s="3118"/>
      <c r="E13" s="3147"/>
      <c r="F13" s="3147"/>
      <c r="G13" s="3147"/>
    </row>
    <row r="14" spans="1:18" ht="14.25" thickBot="1">
      <c r="A14" s="3159"/>
      <c r="B14" s="3159"/>
      <c r="C14" s="3160" t="s">
        <v>1654</v>
      </c>
      <c r="D14" s="3124"/>
      <c r="E14" s="3161"/>
      <c r="F14" s="3161"/>
      <c r="G14" s="3117" t="s">
        <v>1655</v>
      </c>
    </row>
    <row r="15" spans="1:18" ht="40.5">
      <c r="A15" s="3162" t="s">
        <v>1647</v>
      </c>
      <c r="B15" s="3163" t="s">
        <v>1643</v>
      </c>
      <c r="C15" s="3164" t="str">
        <f>C3</f>
        <v>估价对象周边居住用地比例、居住小区规模和社区发展完善程度，综合评价居住社区成熟度一般</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40.5">
      <c r="A18" s="3167"/>
      <c r="B18" s="3171" t="s">
        <v>1645</v>
      </c>
      <c r="C18" s="3172" t="str">
        <f>C6</f>
        <v>估价对象周边道路状况、公共交通通达情况、停车便捷程度，综合评价交通便捷度较好</v>
      </c>
      <c r="D18" s="3133"/>
      <c r="E18" s="3170"/>
      <c r="F18" s="3171" t="s">
        <v>1660</v>
      </c>
      <c r="G18" s="3172" t="str">
        <f>G7</f>
        <v>该园区内是否有污染型企业，绿化情况，卫生条件，整体环境状况判断</v>
      </c>
    </row>
    <row r="19" spans="1:7" ht="27">
      <c r="A19" s="3167"/>
      <c r="B19" s="3171" t="s">
        <v>1649</v>
      </c>
      <c r="C19" s="3173"/>
      <c r="D19" s="3124"/>
      <c r="E19" s="3170"/>
      <c r="F19" s="3128" t="s">
        <v>2525</v>
      </c>
      <c r="G19" s="3172" t="str">
        <f>G5</f>
        <v>估价对象所在区域公共配套设施齐备情况</v>
      </c>
    </row>
    <row r="20" spans="1:7" ht="27">
      <c r="A20" s="3167"/>
      <c r="B20" s="3171" t="s">
        <v>1650</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1651</v>
      </c>
      <c r="G21" s="3174"/>
    </row>
    <row r="22" spans="1:7" ht="14.25">
      <c r="A22" s="3167"/>
      <c r="B22" s="3128" t="s">
        <v>2526</v>
      </c>
      <c r="C22" s="3172" t="str">
        <f>C8</f>
        <v>估价对象所在区域基础设施水平</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topLeftCell="A4" zoomScaleNormal="80" zoomScaleSheetLayoutView="100" workbookViewId="0">
      <selection activeCell="E14" sqref="E14"/>
    </sheetView>
  </sheetViews>
  <sheetFormatPr defaultColWidth="14.625" defaultRowHeight="13.5"/>
  <cols>
    <col min="1" max="1" width="24.375" style="3183" customWidth="1"/>
    <col min="2" max="16384" width="14.625" style="3183"/>
  </cols>
  <sheetData>
    <row r="1" spans="1:10" ht="16.5">
      <c r="A1" s="3182" t="s">
        <v>2820</v>
      </c>
      <c r="B1" s="3182">
        <f>SUM(B14:B23)</f>
        <v>197089.87</v>
      </c>
      <c r="C1" s="3191"/>
      <c r="D1" s="3191"/>
      <c r="E1" s="3191"/>
      <c r="F1" s="3191"/>
      <c r="G1" s="3192"/>
      <c r="H1" s="3192"/>
      <c r="I1" s="3192"/>
      <c r="J1" s="3192"/>
    </row>
    <row r="2" spans="1:10" ht="16.5">
      <c r="A2" s="3182" t="s">
        <v>2821</v>
      </c>
      <c r="B2" s="3182">
        <f>SUM(C14:C23)</f>
        <v>19463.21</v>
      </c>
      <c r="C2" s="3191"/>
      <c r="D2" s="3191"/>
      <c r="E2" s="3191"/>
      <c r="F2" s="3191"/>
      <c r="G2" s="3192"/>
      <c r="H2" s="3192"/>
      <c r="I2" s="3192"/>
      <c r="J2" s="3192"/>
    </row>
    <row r="3" spans="1:10" ht="16.5">
      <c r="A3" s="3182" t="s">
        <v>2822</v>
      </c>
      <c r="B3" s="3184">
        <f>项目基本情况!D3</f>
        <v>44377</v>
      </c>
      <c r="C3" s="3191"/>
      <c r="D3" s="3191"/>
      <c r="E3" s="3191"/>
      <c r="F3" s="3191"/>
      <c r="G3" s="3192"/>
      <c r="H3" s="3192"/>
      <c r="I3" s="3192"/>
      <c r="J3" s="3192"/>
    </row>
    <row r="4" spans="1:10" ht="33">
      <c r="A4" s="3182" t="s">
        <v>2823</v>
      </c>
      <c r="B4" s="3182" t="s">
        <v>2824</v>
      </c>
      <c r="C4" s="3182" t="s">
        <v>2825</v>
      </c>
      <c r="D4" s="3182" t="s">
        <v>2826</v>
      </c>
      <c r="E4" s="3191"/>
      <c r="F4" s="3191"/>
      <c r="G4" s="3192"/>
      <c r="H4" s="3192"/>
      <c r="I4" s="3192"/>
      <c r="J4" s="3192"/>
    </row>
    <row r="5" spans="1:10" ht="16.5">
      <c r="A5" s="3182" t="s">
        <v>2827</v>
      </c>
      <c r="B5" s="3182">
        <f ca="1">SUM(D14:D23)</f>
        <v>125643</v>
      </c>
      <c r="C5" s="3182">
        <f ca="1">ROUND(B5*10000/$B$1,0)</f>
        <v>6375</v>
      </c>
      <c r="D5" s="3182">
        <f ca="1">ROUND(B5*10000/$B$2,0)</f>
        <v>64554</v>
      </c>
      <c r="E5" s="3191"/>
      <c r="F5" s="3191"/>
      <c r="G5" s="3192"/>
      <c r="H5" s="3192"/>
      <c r="I5" s="3192"/>
      <c r="J5" s="3192"/>
    </row>
    <row r="6" spans="1:10" ht="16.5">
      <c r="A6" s="3182" t="s">
        <v>2828</v>
      </c>
      <c r="B6" s="3411">
        <f ca="1">SUM(G14:G23)</f>
        <v>125643</v>
      </c>
      <c r="C6" s="3182">
        <f t="shared" ref="C6:C8" ca="1" si="0">ROUND(B6*10000/$B$1,0)</f>
        <v>6375</v>
      </c>
      <c r="D6" s="3182">
        <f t="shared" ref="D6:D8" ca="1" si="1">ROUND(B6*10000/$B$2,0)</f>
        <v>64554</v>
      </c>
      <c r="E6" s="3191"/>
      <c r="F6" s="3191"/>
      <c r="G6" s="3192"/>
      <c r="H6" s="3192"/>
      <c r="I6" s="3192"/>
      <c r="J6" s="3192"/>
    </row>
    <row r="7" spans="1:10" ht="16.5">
      <c r="A7" s="3182" t="s">
        <v>2829</v>
      </c>
      <c r="B7" s="3182">
        <f>SUM(H14:H23)</f>
        <v>0</v>
      </c>
      <c r="C7" s="3182">
        <f t="shared" si="0"/>
        <v>0</v>
      </c>
      <c r="D7" s="3182">
        <f t="shared" si="1"/>
        <v>0</v>
      </c>
      <c r="E7" s="3191"/>
      <c r="F7" s="3191"/>
      <c r="G7" s="3192"/>
      <c r="H7" s="3192"/>
      <c r="I7" s="3192"/>
      <c r="J7" s="3192"/>
    </row>
    <row r="8" spans="1:10" ht="16.5">
      <c r="A8" s="3182" t="s">
        <v>2830</v>
      </c>
      <c r="B8" s="3411">
        <f ca="1">SUM(I14:I23)</f>
        <v>115856</v>
      </c>
      <c r="C8" s="3182">
        <f t="shared" ca="1" si="0"/>
        <v>5878</v>
      </c>
      <c r="D8" s="3182">
        <f t="shared" ca="1" si="1"/>
        <v>59526</v>
      </c>
      <c r="E8" s="3191"/>
      <c r="F8" s="3191"/>
      <c r="G8" s="3192"/>
      <c r="H8" s="3192"/>
      <c r="I8" s="3192"/>
      <c r="J8" s="3192"/>
    </row>
    <row r="9" spans="1:10" ht="16.5">
      <c r="A9" s="3182" t="s">
        <v>2831</v>
      </c>
      <c r="B9" s="3190"/>
      <c r="C9" s="3191"/>
      <c r="D9" s="3191"/>
      <c r="E9" s="3191"/>
      <c r="F9" s="3191"/>
      <c r="G9" s="3192"/>
      <c r="H9" s="3192"/>
      <c r="I9" s="3192"/>
      <c r="J9" s="3192"/>
    </row>
    <row r="10" spans="1:10" ht="16.5">
      <c r="A10" s="3182" t="s">
        <v>2832</v>
      </c>
      <c r="B10" s="3190"/>
      <c r="C10" s="3191"/>
      <c r="D10" s="3191"/>
      <c r="E10" s="3191"/>
      <c r="F10" s="3191"/>
      <c r="G10" s="3192"/>
      <c r="H10" s="3192"/>
      <c r="I10" s="3192"/>
      <c r="J10" s="3192"/>
    </row>
    <row r="11" spans="1:10" ht="16.5">
      <c r="A11" s="3182" t="s">
        <v>2849</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2848</v>
      </c>
      <c r="B13" s="3186" t="s">
        <v>2820</v>
      </c>
      <c r="C13" s="3186" t="s">
        <v>2821</v>
      </c>
      <c r="D13" s="3186" t="s">
        <v>2833</v>
      </c>
      <c r="E13" s="3182" t="s">
        <v>2847</v>
      </c>
      <c r="F13" s="3182" t="s">
        <v>2826</v>
      </c>
      <c r="G13" s="3186" t="s">
        <v>2834</v>
      </c>
      <c r="H13" s="3186" t="s">
        <v>2835</v>
      </c>
      <c r="I13" s="3186" t="s">
        <v>2836</v>
      </c>
      <c r="J13" s="3192"/>
    </row>
    <row r="14" spans="1:10" ht="16.5">
      <c r="A14" s="3187" t="s">
        <v>2846</v>
      </c>
      <c r="B14" s="3188">
        <f>结果表!L38</f>
        <v>197089.87</v>
      </c>
      <c r="C14" s="3188">
        <f>结果表!K38</f>
        <v>19463.21</v>
      </c>
      <c r="D14" s="3188">
        <f ca="1">结果表!C42</f>
        <v>125643</v>
      </c>
      <c r="E14" s="3188">
        <f ca="1">ROUND(D14*10000/B14,0)</f>
        <v>6375</v>
      </c>
      <c r="F14" s="3188">
        <f ca="1">ROUND(D14*10000/C14,0)</f>
        <v>64554</v>
      </c>
      <c r="G14" s="3412">
        <f ca="1">结果表!C44</f>
        <v>125643</v>
      </c>
      <c r="H14" s="3188" t="str">
        <f>结果表!C45</f>
        <v>——</v>
      </c>
      <c r="I14" s="3412">
        <f ca="1">结果表!C46</f>
        <v>115856</v>
      </c>
      <c r="J14" s="3192"/>
    </row>
    <row r="15" spans="1:10" ht="16.5">
      <c r="A15" s="3187" t="s">
        <v>2837</v>
      </c>
      <c r="B15" s="3189"/>
      <c r="C15" s="3189"/>
      <c r="D15" s="3189"/>
      <c r="E15" s="3188" t="e">
        <f t="shared" ref="E15:E23" si="2">ROUND(D15*10000/B15,0)</f>
        <v>#DIV/0!</v>
      </c>
      <c r="F15" s="3188" t="e">
        <f t="shared" ref="F15:F23" si="3">ROUND(D15*10000/C15,0)</f>
        <v>#DIV/0!</v>
      </c>
      <c r="G15" s="2754"/>
      <c r="H15" s="2754"/>
      <c r="I15" s="3189"/>
      <c r="J15" s="3192"/>
    </row>
    <row r="16" spans="1:10" ht="16.5">
      <c r="A16" s="3187" t="s">
        <v>2838</v>
      </c>
      <c r="B16" s="3189"/>
      <c r="C16" s="3189"/>
      <c r="D16" s="3189"/>
      <c r="E16" s="3188" t="e">
        <f t="shared" si="2"/>
        <v>#DIV/0!</v>
      </c>
      <c r="F16" s="3188" t="e">
        <f t="shared" si="3"/>
        <v>#DIV/0!</v>
      </c>
      <c r="G16" s="2754"/>
      <c r="H16" s="2754"/>
      <c r="I16" s="3189"/>
      <c r="J16" s="3192"/>
    </row>
    <row r="17" spans="1:10" ht="16.5">
      <c r="A17" s="3187" t="s">
        <v>2839</v>
      </c>
      <c r="B17" s="3189"/>
      <c r="C17" s="3189"/>
      <c r="D17" s="3189"/>
      <c r="E17" s="3188" t="e">
        <f t="shared" si="2"/>
        <v>#DIV/0!</v>
      </c>
      <c r="F17" s="3188" t="e">
        <f t="shared" si="3"/>
        <v>#DIV/0!</v>
      </c>
      <c r="G17" s="2754"/>
      <c r="H17" s="2754"/>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7" zoomScaleNormal="100" zoomScaleSheetLayoutView="100" zoomScalePageLayoutView="80" workbookViewId="0">
      <selection activeCell="H35" sqref="H35"/>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7" t="s">
        <v>2042</v>
      </c>
      <c r="B1" s="1688"/>
      <c r="C1" s="1716" t="s">
        <v>2043</v>
      </c>
      <c r="D1" s="1717"/>
      <c r="E1" s="1716" t="s">
        <v>2044</v>
      </c>
      <c r="F1" s="1718"/>
      <c r="G1" s="309"/>
      <c r="H1" s="309"/>
      <c r="I1" s="309"/>
      <c r="J1" s="1908"/>
      <c r="K1" s="1908"/>
      <c r="L1" s="1908"/>
      <c r="M1" s="1908"/>
      <c r="N1" s="1908"/>
      <c r="O1" s="1908"/>
      <c r="P1" s="1908"/>
      <c r="Q1" s="1908"/>
      <c r="R1" s="1908"/>
      <c r="S1" s="1908"/>
      <c r="T1" s="1908"/>
      <c r="U1" s="1908"/>
      <c r="V1" s="1908"/>
    </row>
    <row r="2" spans="1:22" ht="21.75" customHeight="1" thickBot="1">
      <c r="A2" s="3617" t="str">
        <f>项目基本情况!K2</f>
        <v>湖北省武汉市武昌区中北路（不动产单元号：420106011011GB00066W00000000）一宗商业服务用地出让国有建设用地使用权</v>
      </c>
      <c r="B2" s="3618"/>
      <c r="C2" s="3619"/>
      <c r="D2" s="3619"/>
      <c r="E2" s="3619"/>
      <c r="F2" s="3619"/>
      <c r="G2" s="3618"/>
      <c r="H2" s="3618"/>
      <c r="I2" s="3620"/>
      <c r="J2" s="1909"/>
      <c r="K2" s="1908"/>
      <c r="L2" s="1908"/>
      <c r="M2" s="1908"/>
      <c r="N2" s="1908"/>
      <c r="O2" s="1908"/>
      <c r="P2" s="1908"/>
      <c r="Q2" s="1908"/>
      <c r="R2" s="1908"/>
      <c r="S2" s="1908"/>
      <c r="T2" s="1908"/>
      <c r="U2" s="1908"/>
      <c r="V2" s="1908"/>
    </row>
    <row r="3" spans="1:22" ht="14.25">
      <c r="A3" s="3610" t="s">
        <v>298</v>
      </c>
      <c r="B3" s="3611"/>
      <c r="C3" s="3611"/>
      <c r="D3" s="3611"/>
      <c r="E3" s="3611"/>
      <c r="F3" s="3611"/>
      <c r="G3" s="3611"/>
      <c r="H3" s="3611"/>
      <c r="I3" s="3611"/>
      <c r="J3" s="1909"/>
      <c r="K3" s="1908"/>
      <c r="L3" s="1908"/>
      <c r="M3" s="1908"/>
      <c r="N3" s="1908"/>
      <c r="O3" s="1908"/>
      <c r="P3" s="1908"/>
      <c r="Q3" s="1908"/>
      <c r="R3" s="1908"/>
      <c r="S3" s="1908"/>
      <c r="T3" s="1908"/>
      <c r="U3" s="1908"/>
      <c r="V3" s="1908"/>
    </row>
    <row r="4" spans="1:22" ht="14.25">
      <c r="A4" s="256" t="s">
        <v>299</v>
      </c>
      <c r="B4" s="257" t="s">
        <v>300</v>
      </c>
      <c r="C4" s="258" t="s">
        <v>3225</v>
      </c>
      <c r="D4" s="258" t="s">
        <v>3224</v>
      </c>
      <c r="E4" s="3576" t="s">
        <v>301</v>
      </c>
      <c r="F4" s="3577"/>
      <c r="G4" s="3577"/>
      <c r="H4" s="3577"/>
      <c r="I4" s="3612"/>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575" t="s">
        <v>302</v>
      </c>
      <c r="B5" s="3604">
        <v>25</v>
      </c>
      <c r="C5" s="3602"/>
      <c r="D5" s="3606"/>
      <c r="E5" s="259" t="s">
        <v>303</v>
      </c>
      <c r="F5" s="260"/>
      <c r="G5" s="260"/>
      <c r="H5" s="260"/>
      <c r="I5" s="261"/>
      <c r="J5" s="1909"/>
      <c r="K5" s="1908"/>
      <c r="L5" s="1908"/>
      <c r="M5" s="1908"/>
      <c r="N5" s="1908"/>
      <c r="O5" s="1908"/>
      <c r="P5" s="1908"/>
      <c r="Q5" s="1908"/>
      <c r="R5" s="1908"/>
      <c r="S5" s="1908"/>
      <c r="T5" s="1908"/>
      <c r="U5" s="1908"/>
      <c r="V5" s="1908"/>
    </row>
    <row r="6" spans="1:22" ht="14.25">
      <c r="A6" s="3575"/>
      <c r="B6" s="3604"/>
      <c r="C6" s="3605"/>
      <c r="D6" s="3606"/>
      <c r="E6" s="259" t="s">
        <v>304</v>
      </c>
      <c r="F6" s="260"/>
      <c r="G6" s="260"/>
      <c r="H6" s="260"/>
      <c r="I6" s="261"/>
      <c r="J6" s="1909"/>
      <c r="K6" s="1908"/>
      <c r="L6" s="1908"/>
      <c r="M6" s="1908"/>
      <c r="N6" s="1908"/>
      <c r="O6" s="1908"/>
      <c r="P6" s="1908"/>
      <c r="Q6" s="1908"/>
      <c r="R6" s="1908"/>
      <c r="S6" s="1908"/>
      <c r="T6" s="1908"/>
      <c r="U6" s="1908"/>
      <c r="V6" s="1908"/>
    </row>
    <row r="7" spans="1:22" ht="14.25">
      <c r="A7" s="3575"/>
      <c r="B7" s="3604"/>
      <c r="C7" s="3603"/>
      <c r="D7" s="3606"/>
      <c r="E7" s="259" t="s">
        <v>305</v>
      </c>
      <c r="F7" s="260"/>
      <c r="G7" s="260"/>
      <c r="H7" s="260"/>
      <c r="I7" s="261"/>
      <c r="J7" s="1909"/>
      <c r="K7" s="1908"/>
      <c r="L7" s="1908"/>
      <c r="M7" s="1908"/>
      <c r="N7" s="1908"/>
      <c r="O7" s="1908"/>
      <c r="P7" s="1908"/>
      <c r="Q7" s="1908"/>
      <c r="R7" s="1908"/>
      <c r="S7" s="1908"/>
      <c r="T7" s="1908"/>
      <c r="U7" s="1908"/>
      <c r="V7" s="1908"/>
    </row>
    <row r="8" spans="1:22" ht="14.25">
      <c r="A8" s="3575" t="s">
        <v>306</v>
      </c>
      <c r="B8" s="3604">
        <v>15</v>
      </c>
      <c r="C8" s="3602"/>
      <c r="D8" s="3606"/>
      <c r="E8" s="259" t="s">
        <v>307</v>
      </c>
      <c r="F8" s="260"/>
      <c r="G8" s="260"/>
      <c r="H8" s="260"/>
      <c r="I8" s="261"/>
      <c r="J8" s="1909"/>
      <c r="K8" s="1908"/>
      <c r="L8" s="1908"/>
      <c r="M8" s="1908"/>
      <c r="N8" s="1908"/>
      <c r="O8" s="1908"/>
      <c r="P8" s="1908"/>
      <c r="Q8" s="1908"/>
      <c r="R8" s="1908"/>
      <c r="S8" s="1908"/>
      <c r="T8" s="1908"/>
      <c r="U8" s="1908"/>
      <c r="V8" s="1908"/>
    </row>
    <row r="9" spans="1:22" ht="14.25">
      <c r="A9" s="3575"/>
      <c r="B9" s="3604"/>
      <c r="C9" s="3603"/>
      <c r="D9" s="3606"/>
      <c r="E9" s="259" t="s">
        <v>308</v>
      </c>
      <c r="F9" s="260"/>
      <c r="G9" s="260"/>
      <c r="H9" s="260"/>
      <c r="I9" s="261"/>
      <c r="J9" s="1909"/>
      <c r="K9" s="1908"/>
      <c r="L9" s="1908"/>
      <c r="M9" s="1908"/>
      <c r="N9" s="1908"/>
      <c r="O9" s="1908"/>
      <c r="P9" s="1908"/>
      <c r="Q9" s="1908"/>
      <c r="R9" s="1908"/>
      <c r="S9" s="1908"/>
      <c r="T9" s="1908"/>
      <c r="U9" s="1908"/>
      <c r="V9" s="1908"/>
    </row>
    <row r="10" spans="1:22" ht="14.25">
      <c r="A10" s="3575" t="s">
        <v>309</v>
      </c>
      <c r="B10" s="3604">
        <v>15</v>
      </c>
      <c r="C10" s="3602"/>
      <c r="D10" s="3606"/>
      <c r="E10" s="259" t="s">
        <v>310</v>
      </c>
      <c r="F10" s="260"/>
      <c r="G10" s="260"/>
      <c r="H10" s="260"/>
      <c r="I10" s="261"/>
      <c r="J10" s="1909"/>
      <c r="K10" s="1908"/>
      <c r="L10" s="1908"/>
      <c r="M10" s="1908"/>
      <c r="N10" s="1908"/>
      <c r="O10" s="1908"/>
      <c r="P10" s="1908"/>
      <c r="Q10" s="1908"/>
      <c r="R10" s="1908"/>
      <c r="S10" s="1908"/>
      <c r="T10" s="1908"/>
      <c r="U10" s="1908"/>
      <c r="V10" s="1908"/>
    </row>
    <row r="11" spans="1:22" ht="14.25">
      <c r="A11" s="3575"/>
      <c r="B11" s="3604"/>
      <c r="C11" s="3603"/>
      <c r="D11" s="3606"/>
      <c r="E11" s="259" t="s">
        <v>311</v>
      </c>
      <c r="F11" s="260"/>
      <c r="G11" s="260"/>
      <c r="H11" s="260"/>
      <c r="I11" s="261"/>
      <c r="J11" s="1909"/>
      <c r="K11" s="1908"/>
      <c r="L11" s="1908"/>
      <c r="M11" s="1908"/>
      <c r="N11" s="1908"/>
      <c r="O11" s="1908"/>
      <c r="P11" s="1908"/>
      <c r="Q11" s="1908"/>
      <c r="R11" s="1908"/>
      <c r="S11" s="1908"/>
      <c r="T11" s="1908"/>
      <c r="U11" s="1908"/>
      <c r="V11" s="1908"/>
    </row>
    <row r="12" spans="1:22" ht="14.25">
      <c r="A12" s="3575" t="s">
        <v>312</v>
      </c>
      <c r="B12" s="3604">
        <v>15</v>
      </c>
      <c r="C12" s="3602"/>
      <c r="D12" s="3606"/>
      <c r="E12" s="259" t="s">
        <v>313</v>
      </c>
      <c r="F12" s="260"/>
      <c r="G12" s="260"/>
      <c r="H12" s="260"/>
      <c r="I12" s="261"/>
      <c r="J12" s="1909"/>
      <c r="K12" s="1908"/>
      <c r="L12" s="1908"/>
      <c r="M12" s="1908"/>
      <c r="N12" s="1908"/>
      <c r="O12" s="1908"/>
      <c r="P12" s="1908"/>
      <c r="Q12" s="1908"/>
      <c r="R12" s="1908"/>
      <c r="S12" s="1908"/>
      <c r="T12" s="1908"/>
      <c r="U12" s="1908"/>
      <c r="V12" s="1908"/>
    </row>
    <row r="13" spans="1:22" ht="14.25">
      <c r="A13" s="3575"/>
      <c r="B13" s="3604"/>
      <c r="C13" s="3603"/>
      <c r="D13" s="3606"/>
      <c r="E13" s="259" t="s">
        <v>314</v>
      </c>
      <c r="F13" s="260"/>
      <c r="G13" s="260"/>
      <c r="H13" s="260"/>
      <c r="I13" s="261"/>
      <c r="J13" s="1909"/>
      <c r="K13" s="1908"/>
      <c r="L13" s="1908"/>
      <c r="M13" s="1908"/>
      <c r="N13" s="1908"/>
      <c r="O13" s="1908"/>
      <c r="P13" s="1908"/>
      <c r="Q13" s="1908"/>
      <c r="R13" s="1908"/>
      <c r="S13" s="1908"/>
      <c r="T13" s="1908"/>
      <c r="U13" s="1908"/>
      <c r="V13" s="1908"/>
    </row>
    <row r="14" spans="1:22" ht="14.25">
      <c r="A14" s="3575" t="s">
        <v>315</v>
      </c>
      <c r="B14" s="3604">
        <v>30</v>
      </c>
      <c r="C14" s="3602">
        <v>5</v>
      </c>
      <c r="D14" s="3606">
        <v>5</v>
      </c>
      <c r="E14" s="259" t="s">
        <v>316</v>
      </c>
      <c r="F14" s="260"/>
      <c r="G14" s="260"/>
      <c r="H14" s="260"/>
      <c r="I14" s="261"/>
      <c r="J14" s="1909"/>
      <c r="K14" s="1908"/>
      <c r="L14" s="1908"/>
      <c r="M14" s="1908"/>
      <c r="N14" s="1908"/>
      <c r="O14" s="1908"/>
      <c r="P14" s="1908"/>
      <c r="Q14" s="1908"/>
      <c r="R14" s="1908"/>
      <c r="S14" s="1908"/>
      <c r="T14" s="1908"/>
      <c r="U14" s="1908"/>
      <c r="V14" s="1908"/>
    </row>
    <row r="15" spans="1:22" ht="14.25">
      <c r="A15" s="3575"/>
      <c r="B15" s="3604"/>
      <c r="C15" s="3605"/>
      <c r="D15" s="3606"/>
      <c r="E15" s="259" t="s">
        <v>317</v>
      </c>
      <c r="F15" s="260"/>
      <c r="G15" s="260"/>
      <c r="H15" s="260"/>
      <c r="I15" s="261"/>
      <c r="J15" s="1909"/>
      <c r="K15" s="1908"/>
      <c r="L15" s="1908"/>
      <c r="M15" s="1908"/>
      <c r="N15" s="1908"/>
      <c r="O15" s="1908"/>
      <c r="P15" s="1908"/>
      <c r="Q15" s="1908"/>
      <c r="R15" s="1908"/>
      <c r="S15" s="1908"/>
      <c r="T15" s="1908"/>
      <c r="U15" s="1908"/>
      <c r="V15" s="1908"/>
    </row>
    <row r="16" spans="1:22" ht="14.25">
      <c r="A16" s="3575"/>
      <c r="B16" s="3604"/>
      <c r="C16" s="3603"/>
      <c r="D16" s="3606"/>
      <c r="E16" s="259" t="s">
        <v>318</v>
      </c>
      <c r="F16" s="260"/>
      <c r="G16" s="260"/>
      <c r="H16" s="260"/>
      <c r="I16" s="261"/>
      <c r="J16" s="1909"/>
      <c r="K16" s="1908"/>
      <c r="L16" s="1908"/>
      <c r="M16" s="1908"/>
      <c r="N16" s="1908"/>
      <c r="O16" s="1908"/>
      <c r="P16" s="1908"/>
      <c r="Q16" s="1908"/>
      <c r="R16" s="1908"/>
      <c r="S16" s="1908"/>
      <c r="T16" s="1908"/>
      <c r="U16" s="1908"/>
      <c r="V16" s="1908"/>
    </row>
    <row r="17" spans="1:26" ht="15">
      <c r="A17" s="262" t="s">
        <v>319</v>
      </c>
      <c r="B17" s="142"/>
      <c r="C17" s="263">
        <f>SUM(C5:C16)</f>
        <v>5</v>
      </c>
      <c r="D17" s="263">
        <f>SUM(D5:D16)</f>
        <v>5</v>
      </c>
      <c r="E17" s="309"/>
      <c r="F17" s="309"/>
      <c r="G17" s="309"/>
      <c r="H17" s="309"/>
      <c r="I17" s="309"/>
      <c r="J17" s="1909"/>
      <c r="K17" s="1908"/>
      <c r="L17" s="1908"/>
      <c r="M17" s="1908"/>
      <c r="N17" s="1908"/>
      <c r="O17" s="1908"/>
      <c r="P17" s="1908"/>
      <c r="Q17" s="1908"/>
      <c r="R17" s="1908"/>
      <c r="S17" s="1908"/>
      <c r="T17" s="1908"/>
      <c r="U17" s="1908"/>
      <c r="V17" s="1908"/>
    </row>
    <row r="18" spans="1:26" ht="32.450000000000003" customHeight="1" thickBot="1">
      <c r="A18" s="264" t="s">
        <v>320</v>
      </c>
      <c r="B18" s="105"/>
      <c r="C18" s="265">
        <f>ROUND(C17/SUM(C17:D17),2)</f>
        <v>0.5</v>
      </c>
      <c r="D18" s="265">
        <f>1-C18</f>
        <v>0.5</v>
      </c>
      <c r="E18" s="3607" t="s">
        <v>2957</v>
      </c>
      <c r="F18" s="3608"/>
      <c r="G18" s="3608"/>
      <c r="H18" s="3608"/>
      <c r="I18" s="3608"/>
      <c r="J18" s="1908"/>
      <c r="K18" s="1908"/>
      <c r="L18" s="1908"/>
      <c r="M18" s="1908"/>
      <c r="N18" s="1908"/>
      <c r="O18" s="1908"/>
      <c r="P18" s="1908"/>
      <c r="Q18" s="1908"/>
      <c r="R18" s="1908"/>
      <c r="S18" s="1908"/>
      <c r="T18" s="1908"/>
      <c r="U18" s="1908"/>
      <c r="V18" s="1908"/>
    </row>
    <row r="19" spans="1:26" ht="15">
      <c r="A19" s="266" t="s">
        <v>321</v>
      </c>
      <c r="B19" s="267" t="s">
        <v>322</v>
      </c>
      <c r="C19" s="268">
        <f ca="1">SUMIF(INDIRECT("'"&amp;C4&amp;"'"&amp;"!A:A"),结果表!B19,INDIRECT("'"&amp;C4&amp;"'"&amp;"!B:B"))</f>
        <v>114530</v>
      </c>
      <c r="D19" s="269">
        <f ca="1">SUMIF(INDIRECT("'"&amp;D4&amp;"'"&amp;"!A:A"),结果表!B19,INDIRECT("'"&amp;D4&amp;"'"&amp;"!B:B"))</f>
        <v>136756</v>
      </c>
      <c r="E19" s="266" t="s">
        <v>323</v>
      </c>
      <c r="F19" s="267" t="s">
        <v>322</v>
      </c>
      <c r="G19" s="270">
        <f ca="1">ROUND(C19*$C$18+D19*$D$18,0)</f>
        <v>125643</v>
      </c>
      <c r="H19" s="271" t="s">
        <v>324</v>
      </c>
      <c r="I19" s="309"/>
      <c r="J19" s="1908"/>
      <c r="K19" s="1908">
        <v>125642</v>
      </c>
      <c r="L19" s="1908"/>
      <c r="M19" s="1908"/>
      <c r="N19" s="1908"/>
      <c r="O19" s="1908"/>
      <c r="P19" s="1908"/>
      <c r="Q19" s="1908"/>
      <c r="R19" s="1908"/>
      <c r="S19" s="1908"/>
      <c r="T19" s="1908"/>
      <c r="U19" s="1908"/>
      <c r="V19" s="1908"/>
    </row>
    <row r="20" spans="1:26" ht="15">
      <c r="A20" s="272"/>
      <c r="B20" s="273" t="s">
        <v>325</v>
      </c>
      <c r="C20" s="274">
        <f ca="1">SUMIF(INDIRECT("'"&amp;C4&amp;"'"&amp;"!A:A"),结果表!B20,INDIRECT("'"&amp;C4&amp;"'"&amp;"!B:B"))</f>
        <v>5811</v>
      </c>
      <c r="D20" s="275">
        <f ca="1">SUMIF(INDIRECT("'"&amp;D4&amp;"'"&amp;"!A:A"),结果表!B20,INDIRECT("'"&amp;D4&amp;"'"&amp;"!B:B"))</f>
        <v>6939</v>
      </c>
      <c r="E20" s="272"/>
      <c r="F20" s="273" t="s">
        <v>325</v>
      </c>
      <c r="G20" s="276">
        <f ca="1">ROUND(C20*$C$18+D20*$D$18,0)</f>
        <v>6375</v>
      </c>
      <c r="H20" s="277" t="s">
        <v>326</v>
      </c>
      <c r="I20" s="309"/>
      <c r="J20" s="1908"/>
      <c r="K20" s="1908"/>
      <c r="L20" s="1908"/>
      <c r="M20" s="1908"/>
      <c r="N20" s="1908"/>
      <c r="O20" s="1908"/>
      <c r="P20" s="1908"/>
      <c r="Q20" s="1908"/>
      <c r="R20" s="1908"/>
      <c r="S20" s="1908"/>
      <c r="T20" s="1908"/>
      <c r="U20" s="1908"/>
      <c r="V20" s="1908"/>
    </row>
    <row r="21" spans="1:26" ht="15" customHeight="1">
      <c r="A21" s="272"/>
      <c r="B21" s="278" t="s">
        <v>327</v>
      </c>
      <c r="C21" s="279">
        <f ca="1">SUMIF(INDIRECT("'"&amp;C4&amp;"'"&amp;"!A:A"),结果表!B21,INDIRECT("'"&amp;C4&amp;"'"&amp;"!B:B"))</f>
        <v>58844</v>
      </c>
      <c r="D21" s="149">
        <f ca="1">SUMIF(INDIRECT("'"&amp;D4&amp;"'"&amp;"!A:A"),结果表!B21,INDIRECT("'"&amp;D4&amp;"'"&amp;"!B:B"))</f>
        <v>70264</v>
      </c>
      <c r="E21" s="272"/>
      <c r="F21" s="278" t="s">
        <v>327</v>
      </c>
      <c r="G21" s="280">
        <f ca="1">ROUND(C21*$C$18+D21*$D$18,0)</f>
        <v>64554</v>
      </c>
      <c r="H21" s="1203" t="s">
        <v>326</v>
      </c>
      <c r="I21" s="309"/>
      <c r="J21" s="1908"/>
      <c r="K21" s="1908"/>
      <c r="L21" s="1908"/>
      <c r="M21" s="1908"/>
      <c r="N21" s="1908"/>
      <c r="O21" s="1908"/>
      <c r="P21" s="1908"/>
      <c r="Q21" s="1908"/>
      <c r="R21" s="1908"/>
      <c r="S21" s="1908"/>
      <c r="T21" s="1908"/>
      <c r="U21" s="1908"/>
      <c r="V21" s="1908"/>
    </row>
    <row r="22" spans="1:26" ht="15.75" thickBot="1">
      <c r="A22" s="126" t="s">
        <v>328</v>
      </c>
      <c r="B22" s="1204"/>
      <c r="C22" s="1205"/>
      <c r="D22" s="281">
        <f ca="1">IF(C19&lt;D19,D19/C19-1,C19/D19-1)</f>
        <v>0.19406269099799189</v>
      </c>
      <c r="E22" s="282"/>
      <c r="F22" s="283"/>
      <c r="G22" s="284">
        <f ca="1">ROUND(G19/('数据-汇总表'!D3/666.67),0)</f>
        <v>4304</v>
      </c>
      <c r="H22" s="285" t="s">
        <v>329</v>
      </c>
      <c r="I22" s="309"/>
      <c r="J22" s="1908"/>
      <c r="K22" s="1908"/>
      <c r="L22" s="1908"/>
      <c r="M22" s="1908"/>
      <c r="N22" s="1908"/>
      <c r="O22" s="1908"/>
      <c r="P22" s="1908"/>
      <c r="Q22" s="1908"/>
      <c r="R22" s="1908"/>
      <c r="S22" s="1908"/>
      <c r="T22" s="1908"/>
      <c r="U22" s="1908"/>
      <c r="V22" s="1908"/>
    </row>
    <row r="23" spans="1:26" ht="13.5" thickBot="1">
      <c r="A23" s="309"/>
      <c r="B23" s="309"/>
      <c r="C23" s="309"/>
      <c r="D23" s="309"/>
      <c r="E23" s="309"/>
      <c r="F23" s="309"/>
      <c r="G23" s="309"/>
      <c r="H23" s="309"/>
      <c r="I23" s="309"/>
      <c r="J23" s="1908"/>
      <c r="K23" s="1908"/>
      <c r="L23" s="1908"/>
      <c r="M23" s="1908"/>
      <c r="N23" s="1908"/>
      <c r="O23" s="1908"/>
      <c r="P23" s="1908"/>
      <c r="Q23" s="1908"/>
      <c r="R23" s="1908"/>
      <c r="S23" s="1908"/>
      <c r="T23" s="1908"/>
      <c r="U23" s="1908"/>
      <c r="V23" s="1908"/>
    </row>
    <row r="24" spans="1:26" ht="15" thickBot="1">
      <c r="A24" s="3581" t="s">
        <v>330</v>
      </c>
      <c r="B24" s="267" t="s">
        <v>322</v>
      </c>
      <c r="C24" s="286">
        <f>IF(B30=0,0,D30)</f>
        <v>0</v>
      </c>
      <c r="D24" s="287"/>
      <c r="E24" s="309"/>
      <c r="F24" s="309"/>
      <c r="G24" s="309"/>
      <c r="H24" s="309"/>
      <c r="I24" s="309"/>
      <c r="J24" s="1908"/>
      <c r="K24" s="1908"/>
      <c r="L24" s="1908"/>
      <c r="M24" s="1908"/>
      <c r="N24" s="1908"/>
      <c r="O24" s="1908"/>
      <c r="P24" s="1908"/>
      <c r="Q24" s="1908"/>
      <c r="R24" s="1908"/>
      <c r="S24" s="1908"/>
      <c r="T24" s="1908"/>
      <c r="U24" s="1908"/>
      <c r="V24" s="1908"/>
    </row>
    <row r="25" spans="1:26" ht="18">
      <c r="A25" s="3582"/>
      <c r="B25" s="1273" t="s">
        <v>331</v>
      </c>
      <c r="C25" s="288">
        <f>IF(B30=0,0,C30)</f>
        <v>0</v>
      </c>
      <c r="D25" s="289"/>
      <c r="E25" s="309"/>
      <c r="F25" s="309"/>
      <c r="G25" s="309"/>
      <c r="H25" s="309"/>
      <c r="I25" s="309"/>
      <c r="J25" s="1908"/>
      <c r="K25" s="1207" t="str">
        <f ca="1">项目基本情况!B16&amp;"国有建设用地使用权价格："&amp;O38&amp;"万元"</f>
        <v>出让国有建设用地使用权价格：125643万元</v>
      </c>
      <c r="L25" s="1208"/>
      <c r="M25" s="1208"/>
      <c r="N25" s="1208"/>
      <c r="O25" s="1209"/>
      <c r="P25" s="1908"/>
      <c r="Q25" s="1908"/>
      <c r="R25" s="1908"/>
      <c r="S25" s="1908"/>
      <c r="T25" s="1908"/>
      <c r="U25" s="1908"/>
      <c r="V25" s="1908"/>
    </row>
    <row r="26" spans="1:26" s="1206" customFormat="1" ht="18">
      <c r="A26" s="291" t="s">
        <v>332</v>
      </c>
      <c r="B26" s="292" t="s">
        <v>333</v>
      </c>
      <c r="C26" s="292" t="s">
        <v>334</v>
      </c>
      <c r="D26" s="293" t="s">
        <v>335</v>
      </c>
      <c r="E26" s="309"/>
      <c r="F26" s="309"/>
      <c r="G26" s="309"/>
      <c r="H26" s="309"/>
      <c r="I26" s="309"/>
      <c r="J26" s="1908"/>
      <c r="K26" s="1210" t="str">
        <f ca="1">"大写金额：人民币"&amp;NUMBERSTRING(INT(O38*10000),2)&amp;"元整"</f>
        <v>大写金额：人民币壹拾贰亿伍仟陆佰肆拾叁万元整</v>
      </c>
      <c r="L26" s="1204"/>
      <c r="M26" s="1204"/>
      <c r="N26" s="1204"/>
      <c r="O26" s="1203"/>
      <c r="P26" s="1908"/>
      <c r="Q26" s="1908"/>
      <c r="R26" s="1908"/>
      <c r="S26" s="1908"/>
      <c r="T26" s="1908"/>
      <c r="U26" s="1908"/>
      <c r="V26" s="1908"/>
      <c r="W26" s="290"/>
      <c r="X26" s="290"/>
      <c r="Y26" s="290"/>
      <c r="Z26" s="290"/>
    </row>
    <row r="27" spans="1:26" ht="18">
      <c r="A27" s="291"/>
      <c r="B27" s="292"/>
      <c r="C27" s="292"/>
      <c r="D27" s="293"/>
      <c r="E27" s="309"/>
      <c r="F27" s="309"/>
      <c r="G27" s="309"/>
      <c r="H27" s="309"/>
      <c r="I27" s="309"/>
      <c r="J27" s="1908"/>
      <c r="K27" s="1210" t="str">
        <f ca="1">"单位面积地价："&amp;M38&amp;"元/平方米"</f>
        <v>单位面积地价：64554元/平方米</v>
      </c>
      <c r="L27" s="1204"/>
      <c r="M27" s="1204"/>
      <c r="N27" s="1204"/>
      <c r="O27" s="1203"/>
      <c r="P27" s="1908"/>
      <c r="Q27" s="1908"/>
      <c r="R27" s="1908"/>
      <c r="S27" s="1908"/>
      <c r="T27" s="1908"/>
      <c r="U27" s="1908"/>
      <c r="V27" s="1908"/>
    </row>
    <row r="28" spans="1:26" ht="18.75" customHeight="1">
      <c r="A28" s="291"/>
      <c r="B28" s="292"/>
      <c r="C28" s="292"/>
      <c r="D28" s="293"/>
      <c r="E28" s="309"/>
      <c r="F28" s="309"/>
      <c r="G28" s="309"/>
      <c r="H28" s="309"/>
      <c r="I28" s="309"/>
      <c r="J28" s="1908"/>
      <c r="K28" s="1210" t="str">
        <f ca="1">"楼面地价："&amp;N38&amp;"元/平方米"</f>
        <v>楼面地价：6375元/平方米</v>
      </c>
      <c r="L28" s="1204"/>
      <c r="M28" s="1204"/>
      <c r="N28" s="1204"/>
      <c r="O28" s="1203"/>
      <c r="P28" s="1908"/>
      <c r="V28" s="1908"/>
    </row>
    <row r="29" spans="1:26" ht="18">
      <c r="A29" s="291"/>
      <c r="B29" s="292"/>
      <c r="C29" s="292"/>
      <c r="D29" s="293"/>
      <c r="E29" s="309"/>
      <c r="F29" s="309"/>
      <c r="G29" s="309"/>
      <c r="H29" s="309"/>
      <c r="I29" s="309"/>
      <c r="J29" s="1908"/>
      <c r="K29" s="1210" t="str">
        <f ca="1">IF(OR(项目基本情况!E8="抵押价格",项目基本情况!E8="已注销及未注销"),"抵押价格："&amp;O39&amp;"万元","——")</f>
        <v>抵押价格：125643万元</v>
      </c>
      <c r="L29" s="1204"/>
      <c r="M29" s="1204"/>
      <c r="N29" s="1204"/>
      <c r="O29" s="1203"/>
      <c r="P29" s="1908"/>
      <c r="V29" s="1908"/>
    </row>
    <row r="30" spans="1:26" ht="18.75" thickBot="1">
      <c r="A30" s="2797" t="s">
        <v>336</v>
      </c>
      <c r="B30" s="307"/>
      <c r="C30" s="307"/>
      <c r="D30" s="308"/>
      <c r="E30" s="3000" t="s">
        <v>2958</v>
      </c>
      <c r="F30" s="309"/>
      <c r="G30" s="309"/>
      <c r="H30" s="309"/>
      <c r="I30" s="309"/>
      <c r="J30" s="1908"/>
      <c r="K30" s="1210" t="str">
        <f ca="1">IF(K29="——","——","大写金额：人民币"&amp;NUMBERSTRING(INT(O39*10000),2)&amp;"元整")</f>
        <v>大写金额：人民币壹拾贰亿伍仟陆佰肆拾叁万元整</v>
      </c>
      <c r="L30" s="1204"/>
      <c r="M30" s="1204"/>
      <c r="N30" s="1204"/>
      <c r="O30" s="1203"/>
      <c r="P30" s="1908"/>
      <c r="V30" s="1908"/>
    </row>
    <row r="31" spans="1:26" ht="24" customHeight="1" thickBot="1">
      <c r="A31" s="3609" t="s">
        <v>2959</v>
      </c>
      <c r="B31" s="3609"/>
      <c r="C31" s="3609"/>
      <c r="D31" s="3609"/>
      <c r="E31" s="3609"/>
      <c r="F31" s="3609"/>
      <c r="G31" s="3609"/>
      <c r="H31" s="3609"/>
      <c r="I31" s="3609"/>
      <c r="J31" s="1908"/>
      <c r="K31" s="2319" t="str">
        <f>IF(项目基本情况!E8="抵押价格","——","抵押担保权已注销时的抵押价格："&amp;O40&amp;"万元")</f>
        <v>——</v>
      </c>
      <c r="L31" s="2315"/>
      <c r="M31" s="2315"/>
      <c r="N31" s="2315"/>
      <c r="O31" s="2316"/>
      <c r="P31" s="1908"/>
      <c r="V31" s="1908"/>
    </row>
    <row r="32" spans="1:26" ht="19.5" thickTop="1" thickBot="1">
      <c r="A32" s="272" t="s">
        <v>337</v>
      </c>
      <c r="B32" s="3001" t="s">
        <v>1678</v>
      </c>
      <c r="C32" s="264">
        <f ca="1">G19-C24</f>
        <v>125643</v>
      </c>
      <c r="D32" s="3002" t="s">
        <v>1679</v>
      </c>
      <c r="E32" s="309"/>
      <c r="F32" s="309"/>
      <c r="G32" s="309"/>
      <c r="H32" s="309"/>
      <c r="I32" s="309"/>
      <c r="J32" s="1908"/>
      <c r="K32" s="2314" t="str">
        <f>IF(K31="——","——","大写金额：人民币"&amp;NUMBERSTRING(INT(O40*10000),2)&amp;"元整")</f>
        <v>——</v>
      </c>
      <c r="L32" s="2317"/>
      <c r="M32" s="2317"/>
      <c r="N32" s="2317"/>
      <c r="O32" s="2318"/>
      <c r="P32" s="1908"/>
      <c r="V32" s="1908"/>
    </row>
    <row r="33" spans="1:26" ht="18.75" thickBot="1">
      <c r="A33" s="296" t="s">
        <v>340</v>
      </c>
      <c r="B33" s="1329" t="s">
        <v>1680</v>
      </c>
      <c r="C33" s="262">
        <f ca="1">ROUND(C32*10000/'数据-汇总表'!E3,0)</f>
        <v>6375</v>
      </c>
      <c r="D33" s="1330" t="s">
        <v>1681</v>
      </c>
      <c r="E33" s="3581" t="s">
        <v>338</v>
      </c>
      <c r="F33" s="294" t="s">
        <v>339</v>
      </c>
      <c r="G33" s="295"/>
      <c r="H33" s="967"/>
      <c r="I33" s="1211"/>
      <c r="J33" s="1908"/>
      <c r="K33" s="1210" t="str">
        <f ca="1">IF(项目基本情况!E9="——","——","抵押净值："&amp;C46&amp;"万元")</f>
        <v>抵押净值：115856万元</v>
      </c>
      <c r="L33" s="1204"/>
      <c r="M33" s="1204"/>
      <c r="N33" s="1204"/>
      <c r="O33" s="1203"/>
      <c r="P33" s="1908"/>
      <c r="V33" s="1908"/>
    </row>
    <row r="34" spans="1:26" s="1206" customFormat="1" ht="18.75" thickBot="1">
      <c r="A34" s="298"/>
      <c r="B34" s="1331" t="s">
        <v>1682</v>
      </c>
      <c r="C34" s="262">
        <f ca="1">ROUND(C32*10000/'数据-汇总表'!D3,0)</f>
        <v>64554</v>
      </c>
      <c r="D34" s="1332" t="s">
        <v>1681</v>
      </c>
      <c r="E34" s="3625"/>
      <c r="F34" s="127" t="s">
        <v>341</v>
      </c>
      <c r="G34" s="297"/>
      <c r="H34" s="105"/>
      <c r="I34" s="309"/>
      <c r="J34" s="1908"/>
      <c r="K34" s="1213" t="str">
        <f ca="1">IF(K33="——","——","大写金额：人民币"&amp;NUMBERSTRING(INT(O41*10000),2)&amp;"元整")</f>
        <v>大写金额：人民币壹拾壹亿伍仟捌佰伍拾陆万元整</v>
      </c>
      <c r="L34" s="1214"/>
      <c r="M34" s="1214"/>
      <c r="N34" s="1214"/>
      <c r="O34" s="1215"/>
      <c r="P34" s="1908"/>
      <c r="Q34" s="290"/>
      <c r="R34" s="290"/>
      <c r="S34" s="290"/>
      <c r="T34" s="290"/>
      <c r="U34" s="290"/>
      <c r="V34" s="1908"/>
      <c r="W34" s="290"/>
      <c r="X34" s="290"/>
      <c r="Y34" s="290"/>
      <c r="Z34" s="290"/>
    </row>
    <row r="35" spans="1:26" ht="15.75" thickBot="1">
      <c r="A35" s="282"/>
      <c r="B35" s="1333"/>
      <c r="C35" s="1334">
        <f ca="1">ROUND(C32/('数据-汇总表'!D3/666.67),0)</f>
        <v>4304</v>
      </c>
      <c r="D35" s="1335" t="s">
        <v>1683</v>
      </c>
      <c r="E35" s="3626"/>
      <c r="F35" s="299" t="s">
        <v>342</v>
      </c>
      <c r="G35" s="3410">
        <f>E37</f>
        <v>0</v>
      </c>
      <c r="H35" s="968" t="s">
        <v>343</v>
      </c>
      <c r="I35" s="309"/>
      <c r="J35" s="1908"/>
      <c r="K35" s="3599" t="s">
        <v>350</v>
      </c>
      <c r="L35" s="3599" t="s">
        <v>351</v>
      </c>
      <c r="M35" s="1216" t="s">
        <v>352</v>
      </c>
      <c r="N35" s="3599" t="s">
        <v>353</v>
      </c>
      <c r="O35" s="3599" t="s">
        <v>354</v>
      </c>
      <c r="P35" s="1908"/>
      <c r="V35" s="1908"/>
    </row>
    <row r="36" spans="1:26" ht="16.5" customHeight="1">
      <c r="A36" s="301" t="s">
        <v>344</v>
      </c>
      <c r="B36" s="302" t="s">
        <v>333</v>
      </c>
      <c r="C36" s="303" t="s">
        <v>345</v>
      </c>
      <c r="D36" s="303" t="s">
        <v>346</v>
      </c>
      <c r="E36" s="304" t="s">
        <v>347</v>
      </c>
      <c r="F36" s="309"/>
      <c r="G36" s="309"/>
      <c r="H36" s="309"/>
      <c r="I36" s="309"/>
      <c r="J36" s="1910"/>
      <c r="K36" s="3600"/>
      <c r="L36" s="3600"/>
      <c r="M36" s="1218" t="s">
        <v>355</v>
      </c>
      <c r="N36" s="3600"/>
      <c r="O36" s="3600"/>
      <c r="P36" s="1908"/>
      <c r="V36" s="1908"/>
    </row>
    <row r="37" spans="1:26" ht="16.5" customHeight="1" thickBot="1">
      <c r="A37" s="1212" t="s">
        <v>348</v>
      </c>
      <c r="B37" s="305"/>
      <c r="C37" s="292"/>
      <c r="D37" s="3408"/>
      <c r="E37" s="3409"/>
      <c r="F37" s="309"/>
      <c r="G37" s="309"/>
      <c r="H37" s="309"/>
      <c r="I37" s="309"/>
      <c r="J37" s="1910"/>
      <c r="K37" s="3601"/>
      <c r="L37" s="3601"/>
      <c r="M37" s="1219"/>
      <c r="N37" s="3601"/>
      <c r="O37" s="3601"/>
      <c r="P37" s="1908"/>
      <c r="V37" s="1908"/>
    </row>
    <row r="38" spans="1:26" ht="16.5" customHeight="1" thickBot="1">
      <c r="A38" s="1212" t="s">
        <v>349</v>
      </c>
      <c r="B38" s="305"/>
      <c r="C38" s="292"/>
      <c r="D38" s="292"/>
      <c r="E38" s="293"/>
      <c r="F38" s="309"/>
      <c r="G38" s="309"/>
      <c r="H38" s="309"/>
      <c r="I38" s="309"/>
      <c r="J38" s="1910"/>
      <c r="K38" s="1220">
        <f>'数据-汇总表'!D3</f>
        <v>19463.21</v>
      </c>
      <c r="L38" s="1221">
        <f>'数据-汇总表'!E3</f>
        <v>197089.87</v>
      </c>
      <c r="M38" s="1221">
        <f ca="1">C34</f>
        <v>64554</v>
      </c>
      <c r="N38" s="1221">
        <f ca="1">C33</f>
        <v>6375</v>
      </c>
      <c r="O38" s="1222">
        <f ca="1">C32</f>
        <v>125643</v>
      </c>
      <c r="P38" s="1908"/>
      <c r="V38" s="1908"/>
    </row>
    <row r="39" spans="1:26" ht="16.5" customHeight="1" thickBot="1">
      <c r="A39" s="1217"/>
      <c r="B39" s="306"/>
      <c r="C39" s="307"/>
      <c r="D39" s="307"/>
      <c r="E39" s="308"/>
      <c r="F39" s="309"/>
      <c r="G39" s="309"/>
      <c r="H39" s="309"/>
      <c r="I39" s="309"/>
      <c r="J39" s="1910"/>
      <c r="K39" s="3639" t="str">
        <f>MID(A44,3,LEN(A44)-2)</f>
        <v>抵押价格</v>
      </c>
      <c r="L39" s="3640"/>
      <c r="M39" s="3640"/>
      <c r="N39" s="3641"/>
      <c r="O39" s="1337">
        <f ca="1">C44</f>
        <v>125643</v>
      </c>
      <c r="P39" s="1908"/>
      <c r="V39" s="1908"/>
    </row>
    <row r="40" spans="1:26" ht="19.5" thickBot="1">
      <c r="A40" s="104" t="s">
        <v>863</v>
      </c>
      <c r="B40" s="309"/>
      <c r="C40" s="309"/>
      <c r="D40" s="309"/>
      <c r="E40" s="309"/>
      <c r="F40" s="309"/>
      <c r="G40" s="309"/>
      <c r="H40" s="309"/>
      <c r="I40" s="309"/>
      <c r="J40" s="1910"/>
      <c r="K40" s="3639" t="str">
        <f t="shared" ref="K40:K41" si="0">MID(A45,3,LEN(A45)-2)</f>
        <v/>
      </c>
      <c r="L40" s="3640"/>
      <c r="M40" s="3640"/>
      <c r="N40" s="3641"/>
      <c r="O40" s="1337" t="str">
        <f>C45</f>
        <v>——</v>
      </c>
      <c r="P40" s="1908"/>
      <c r="V40" s="1908"/>
    </row>
    <row r="41" spans="1:26" ht="16.5" thickBot="1">
      <c r="A41" s="310" t="s">
        <v>356</v>
      </c>
      <c r="B41" s="311"/>
      <c r="C41" s="312" t="s">
        <v>357</v>
      </c>
      <c r="D41" s="313" t="s">
        <v>358</v>
      </c>
      <c r="E41" s="313" t="s">
        <v>359</v>
      </c>
      <c r="F41" s="314" t="s">
        <v>360</v>
      </c>
      <c r="G41" s="309"/>
      <c r="H41" s="309"/>
      <c r="I41" s="309"/>
      <c r="J41" s="1910"/>
      <c r="K41" s="3639" t="str">
        <f t="shared" si="0"/>
        <v>抵押净值</v>
      </c>
      <c r="L41" s="3640"/>
      <c r="M41" s="3640"/>
      <c r="N41" s="3641"/>
      <c r="O41" s="1337">
        <f ca="1">C46</f>
        <v>115856</v>
      </c>
      <c r="P41" s="1908"/>
      <c r="V41" s="1908"/>
    </row>
    <row r="42" spans="1:26" ht="29.25">
      <c r="A42" s="3583" t="s">
        <v>2054</v>
      </c>
      <c r="B42" s="3584"/>
      <c r="C42" s="262">
        <f ca="1">C32</f>
        <v>125643</v>
      </c>
      <c r="D42" s="315">
        <f ca="1">C33</f>
        <v>6375</v>
      </c>
      <c r="E42" s="315">
        <f ca="1">C34</f>
        <v>64554</v>
      </c>
      <c r="F42" s="316">
        <f ca="1">C35</f>
        <v>4304</v>
      </c>
      <c r="G42" s="309"/>
      <c r="H42" s="309"/>
      <c r="I42" s="317"/>
      <c r="J42" s="1910"/>
      <c r="K42" s="1223" t="s">
        <v>361</v>
      </c>
      <c r="L42" s="1927" t="s">
        <v>362</v>
      </c>
      <c r="M42" s="1224" t="s">
        <v>363</v>
      </c>
      <c r="N42" s="1928" t="s">
        <v>364</v>
      </c>
      <c r="O42" s="1929" t="s">
        <v>365</v>
      </c>
      <c r="P42" s="1908"/>
      <c r="V42" s="1908"/>
    </row>
    <row r="43" spans="1:26" ht="30">
      <c r="A43" s="3594" t="s">
        <v>2707</v>
      </c>
      <c r="B43" s="3595"/>
      <c r="C43" s="262">
        <f>IF(H33="正常操作",G33+G34+G35,G34+G35)</f>
        <v>0</v>
      </c>
      <c r="D43" s="315" t="s">
        <v>43</v>
      </c>
      <c r="E43" s="315" t="s">
        <v>44</v>
      </c>
      <c r="F43" s="316" t="s">
        <v>44</v>
      </c>
      <c r="G43" s="2580" t="s">
        <v>942</v>
      </c>
      <c r="H43" s="309"/>
      <c r="I43" s="317"/>
      <c r="J43" s="1910"/>
      <c r="K43" s="1225" t="str">
        <f>C4</f>
        <v>比较法-住宅、综合</v>
      </c>
      <c r="L43" s="1226">
        <f ca="1">IF(L42="估价结果/万元",C19,C20)</f>
        <v>114530</v>
      </c>
      <c r="M43" s="1227">
        <f>C18</f>
        <v>0.5</v>
      </c>
      <c r="N43" s="1228">
        <f ca="1">IF(N42="测算结果/万元",G19,G20)</f>
        <v>125643</v>
      </c>
      <c r="O43" s="1229">
        <f ca="1">IF(O42="最终结果/万元",C32,C33)</f>
        <v>125643</v>
      </c>
      <c r="P43" s="1908"/>
      <c r="V43" s="1908"/>
    </row>
    <row r="44" spans="1:26" ht="30.75" thickBot="1">
      <c r="A44" s="3583" t="str">
        <f>IF(OR(项目基本情况!E8="抵押价格",项目基本情况!E8="已注销及未注销"),"3.抵押价格","——")</f>
        <v>3.抵押价格</v>
      </c>
      <c r="B44" s="3584"/>
      <c r="C44" s="262">
        <f ca="1">IF(A44="——","——",C42-C43)</f>
        <v>125643</v>
      </c>
      <c r="D44" s="315">
        <f ca="1">ROUND(C44*10000/'数据-汇总表'!E3,0)</f>
        <v>6375</v>
      </c>
      <c r="E44" s="315">
        <f ca="1">ROUND(C44*10000/'数据-汇总表'!D3,0)</f>
        <v>64554</v>
      </c>
      <c r="F44" s="316">
        <f ca="1">ROUND(C44/('数据-汇总表'!D3/666.67),0)</f>
        <v>4304</v>
      </c>
      <c r="G44" s="309"/>
      <c r="H44" s="309"/>
      <c r="I44" s="317"/>
      <c r="J44" s="1910"/>
      <c r="K44" s="1230" t="str">
        <f>D4</f>
        <v>剩余法-待开发</v>
      </c>
      <c r="L44" s="1231">
        <f ca="1">IF(L42="估价结果/万元",D19,D20)</f>
        <v>136756</v>
      </c>
      <c r="M44" s="1232">
        <f>D18</f>
        <v>0.5</v>
      </c>
      <c r="N44" s="1233"/>
      <c r="O44" s="1234"/>
      <c r="P44" s="1908"/>
      <c r="V44" s="1908"/>
    </row>
    <row r="45" spans="1:26" ht="15">
      <c r="A45" s="3589" t="str">
        <f>IF(项目基本情况!E8="已注销及未注销","4.抵押担保权已注销时的抵押价格",IF(项目基本情况!E8="已注销","3.抵押担保权已注销时的抵押价格","——"))</f>
        <v>——</v>
      </c>
      <c r="B45" s="3590"/>
      <c r="C45" s="171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0"/>
      <c r="K45" s="1908"/>
      <c r="L45" s="1908"/>
      <c r="M45" s="1908"/>
      <c r="N45" s="1908"/>
      <c r="O45" s="1908"/>
      <c r="P45" s="1908"/>
      <c r="V45" s="1908"/>
    </row>
    <row r="46" spans="1:26" ht="15.75" thickBot="1">
      <c r="A46" s="3585" t="str">
        <f>IF(项目基本情况!E9="抵押净值",IF(A45="——","4.抵押净值","5.抵押净值"),"——")</f>
        <v>4.抵押净值</v>
      </c>
      <c r="B46" s="3586"/>
      <c r="C46" s="318">
        <f ca="1">IF(A46="——","——",O79)</f>
        <v>115856</v>
      </c>
      <c r="D46" s="315">
        <f ca="1">ROUND(C46*10000/'数据-汇总表'!E3,0)</f>
        <v>5878</v>
      </c>
      <c r="E46" s="315">
        <f ca="1">ROUND(C46*10000/'数据-汇总表'!D3,0)</f>
        <v>59526</v>
      </c>
      <c r="F46" s="316">
        <f ca="1">ROUND(C46/('数据-汇总表'!D3/666.67),0)</f>
        <v>3968</v>
      </c>
      <c r="G46" s="309"/>
      <c r="H46" s="309"/>
      <c r="I46" s="317"/>
      <c r="J46" s="1910"/>
      <c r="K46" s="1908"/>
      <c r="L46" s="1908"/>
      <c r="M46" s="1908"/>
      <c r="N46" s="1908"/>
      <c r="O46" s="1908"/>
      <c r="P46" s="1908"/>
      <c r="Q46" s="1908"/>
      <c r="R46" s="1908"/>
      <c r="S46" s="1908"/>
      <c r="T46" s="1908"/>
      <c r="U46" s="1908"/>
      <c r="V46" s="1908"/>
    </row>
    <row r="47" spans="1:26" ht="15.75">
      <c r="A47" s="319" t="s">
        <v>366</v>
      </c>
      <c r="B47" s="1235"/>
      <c r="C47" s="320" t="s">
        <v>367</v>
      </c>
      <c r="D47" s="321"/>
      <c r="E47" s="321"/>
      <c r="F47" s="321"/>
      <c r="G47" s="322"/>
      <c r="H47" s="323"/>
      <c r="I47" s="324"/>
      <c r="J47" s="1910"/>
      <c r="K47" s="309"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5.25">
      <c r="A48" s="325" t="s">
        <v>3500</v>
      </c>
      <c r="B48" s="326"/>
      <c r="C48" s="326"/>
      <c r="D48" s="321"/>
      <c r="E48" s="321"/>
      <c r="F48" s="321"/>
      <c r="G48" s="321"/>
      <c r="H48" s="327"/>
      <c r="I48" s="328"/>
      <c r="J48" s="1910"/>
      <c r="K48" s="1908"/>
      <c r="L48" s="1908"/>
      <c r="M48" s="1908"/>
      <c r="N48" s="1908"/>
      <c r="O48" s="1908"/>
      <c r="P48" s="1908"/>
      <c r="Q48" s="1908"/>
      <c r="R48" s="1908"/>
      <c r="S48" s="1908"/>
      <c r="T48" s="1908"/>
      <c r="U48" s="1908"/>
      <c r="V48" s="1908"/>
    </row>
    <row r="49" spans="1:22" ht="12.75">
      <c r="A49" s="325">
        <v>2</v>
      </c>
      <c r="B49" s="326"/>
      <c r="C49" s="326"/>
      <c r="D49" s="321"/>
      <c r="E49" s="321"/>
      <c r="F49" s="321"/>
      <c r="G49" s="321"/>
      <c r="H49" s="327"/>
      <c r="I49" s="328"/>
      <c r="J49" s="1911"/>
      <c r="K49" s="1908"/>
      <c r="L49" s="1908"/>
      <c r="M49" s="1908"/>
      <c r="N49" s="1908"/>
      <c r="O49" s="1908"/>
      <c r="P49" s="1908"/>
      <c r="Q49" s="1908"/>
      <c r="R49" s="1908"/>
      <c r="S49" s="1908"/>
      <c r="T49" s="1908"/>
      <c r="U49" s="1908"/>
      <c r="V49" s="1908"/>
    </row>
    <row r="50" spans="1:22" ht="12.75">
      <c r="A50" s="325">
        <v>3</v>
      </c>
      <c r="B50" s="326"/>
      <c r="C50" s="326"/>
      <c r="D50" s="321"/>
      <c r="E50" s="321"/>
      <c r="F50" s="321"/>
      <c r="G50" s="321"/>
      <c r="H50" s="327"/>
      <c r="I50" s="328"/>
      <c r="J50" s="1911"/>
      <c r="K50" s="1908"/>
      <c r="L50" s="1908"/>
      <c r="M50" s="1908"/>
      <c r="N50" s="1908"/>
      <c r="O50" s="1908"/>
      <c r="P50" s="1908"/>
      <c r="Q50" s="1908"/>
      <c r="R50" s="1908"/>
      <c r="S50" s="1908"/>
      <c r="T50" s="1908"/>
      <c r="U50" s="1908"/>
      <c r="V50" s="1908"/>
    </row>
    <row r="51" spans="1:22" ht="12.75">
      <c r="A51" s="329"/>
      <c r="B51" s="330"/>
      <c r="C51" s="330"/>
      <c r="D51" s="331"/>
      <c r="E51" s="331"/>
      <c r="F51" s="331"/>
      <c r="G51" s="331"/>
      <c r="H51" s="332"/>
      <c r="I51" s="333"/>
      <c r="J51" s="1911"/>
      <c r="K51" s="1908"/>
      <c r="L51" s="1908"/>
      <c r="M51" s="1908"/>
      <c r="N51" s="1908"/>
      <c r="O51" s="1908"/>
      <c r="P51" s="1908"/>
      <c r="Q51" s="1908"/>
      <c r="R51" s="1908"/>
      <c r="S51" s="1908"/>
      <c r="T51" s="1908"/>
      <c r="U51" s="1908"/>
      <c r="V51" s="1908"/>
    </row>
    <row r="52" spans="1:22" ht="12.75">
      <c r="A52" s="326"/>
      <c r="B52" s="326"/>
      <c r="C52" s="326"/>
      <c r="D52" s="321"/>
      <c r="E52" s="321"/>
      <c r="F52" s="321"/>
      <c r="G52" s="321"/>
      <c r="H52" s="327"/>
      <c r="I52" s="255"/>
      <c r="J52" s="1911"/>
      <c r="K52" s="1908"/>
      <c r="L52" s="1908"/>
      <c r="M52" s="1908"/>
      <c r="N52" s="1908"/>
      <c r="O52" s="1908"/>
      <c r="P52" s="1908"/>
      <c r="Q52" s="1908"/>
      <c r="R52" s="1908"/>
      <c r="S52" s="1908"/>
      <c r="T52" s="1908"/>
      <c r="U52" s="1908"/>
      <c r="V52" s="1908"/>
    </row>
    <row r="53" spans="1:22" ht="12.75">
      <c r="A53" s="255"/>
      <c r="B53" s="255"/>
      <c r="C53" s="255"/>
      <c r="D53" s="255"/>
      <c r="E53" s="255"/>
      <c r="F53" s="334" t="s">
        <v>368</v>
      </c>
      <c r="G53" s="335"/>
      <c r="H53" s="335"/>
      <c r="I53" s="336" t="s">
        <v>369</v>
      </c>
      <c r="J53" s="1911"/>
      <c r="K53" s="1908"/>
      <c r="L53" s="1908"/>
      <c r="M53" s="1908"/>
      <c r="N53" s="1908"/>
      <c r="O53" s="1908"/>
      <c r="P53" s="1908"/>
      <c r="Q53" s="1908"/>
      <c r="R53" s="1908"/>
      <c r="S53" s="1908"/>
      <c r="T53" s="1908"/>
      <c r="U53" s="1908"/>
      <c r="V53" s="1908"/>
    </row>
    <row r="54" spans="1:22" ht="12.75">
      <c r="A54" s="255"/>
      <c r="B54" s="337" t="s">
        <v>370</v>
      </c>
      <c r="C54" s="255"/>
      <c r="D54" s="255"/>
      <c r="E54" s="255"/>
      <c r="F54" s="255"/>
      <c r="G54" s="255"/>
      <c r="H54" s="255"/>
      <c r="I54" s="255"/>
      <c r="J54" s="1911"/>
      <c r="K54" s="1908"/>
      <c r="L54" s="1908"/>
      <c r="M54" s="1908"/>
      <c r="N54" s="1908"/>
      <c r="O54" s="1908"/>
      <c r="P54" s="1908"/>
      <c r="Q54" s="1908"/>
      <c r="R54" s="1908"/>
      <c r="S54" s="1908"/>
      <c r="T54" s="1908"/>
      <c r="U54" s="1908"/>
      <c r="V54" s="1908"/>
    </row>
    <row r="55" spans="1:22" ht="12.75">
      <c r="A55" s="255"/>
      <c r="B55" s="255"/>
      <c r="C55" s="255"/>
      <c r="D55" s="255"/>
      <c r="E55" s="255"/>
      <c r="F55" s="255"/>
      <c r="G55" s="255"/>
      <c r="H55" s="255"/>
      <c r="I55" s="255"/>
      <c r="J55" s="1911"/>
      <c r="K55" s="1908"/>
      <c r="L55" s="1908"/>
      <c r="M55" s="1908"/>
      <c r="N55" s="1908"/>
      <c r="O55" s="1908"/>
      <c r="P55" s="1908"/>
      <c r="Q55" s="1908"/>
      <c r="R55" s="1908"/>
      <c r="S55" s="1908"/>
      <c r="T55" s="1908"/>
      <c r="U55" s="1908"/>
      <c r="V55" s="1908"/>
    </row>
    <row r="56" spans="1:22" ht="12.75">
      <c r="A56" s="255"/>
      <c r="B56" s="335"/>
      <c r="C56" s="335"/>
      <c r="D56" s="335"/>
      <c r="E56" s="335"/>
      <c r="F56" s="335"/>
      <c r="G56" s="335"/>
      <c r="H56" s="335"/>
      <c r="I56" s="336" t="s">
        <v>371</v>
      </c>
      <c r="J56" s="1911"/>
      <c r="K56" s="1908"/>
      <c r="L56" s="1908"/>
      <c r="M56" s="1908"/>
      <c r="N56" s="1908"/>
      <c r="O56" s="1908"/>
      <c r="P56" s="1908"/>
      <c r="Q56" s="1908"/>
      <c r="R56" s="1908"/>
      <c r="S56" s="1908"/>
      <c r="T56" s="1908"/>
      <c r="U56" s="1908"/>
      <c r="V56" s="1908"/>
    </row>
    <row r="57" spans="1:22" ht="12.75">
      <c r="A57" s="255"/>
      <c r="B57" s="337" t="s">
        <v>372</v>
      </c>
      <c r="C57" s="255"/>
      <c r="D57" s="255"/>
      <c r="E57" s="255"/>
      <c r="F57" s="255"/>
      <c r="G57" s="255"/>
      <c r="H57" s="255"/>
      <c r="I57" s="255"/>
      <c r="J57" s="1911"/>
      <c r="K57" s="1908"/>
      <c r="L57" s="1908"/>
      <c r="M57" s="1908"/>
      <c r="N57" s="1908"/>
      <c r="O57" s="1908"/>
      <c r="P57" s="1908"/>
      <c r="Q57" s="1908"/>
      <c r="R57" s="1908"/>
      <c r="S57" s="1908"/>
      <c r="T57" s="1908"/>
      <c r="U57" s="1908"/>
      <c r="V57" s="1908"/>
    </row>
    <row r="58" spans="1:22" ht="12.75">
      <c r="A58" s="255"/>
      <c r="B58" s="337"/>
      <c r="C58" s="255"/>
      <c r="D58" s="255"/>
      <c r="E58" s="255"/>
      <c r="F58" s="255"/>
      <c r="G58" s="255"/>
      <c r="H58" s="255"/>
      <c r="I58" s="255"/>
      <c r="J58" s="1911"/>
      <c r="K58" s="1908"/>
      <c r="L58" s="1908"/>
      <c r="M58" s="1908"/>
      <c r="N58" s="1908"/>
      <c r="O58" s="1908"/>
      <c r="P58" s="1908"/>
      <c r="Q58" s="1908"/>
      <c r="R58" s="1908"/>
      <c r="S58" s="1908"/>
      <c r="T58" s="1908"/>
      <c r="U58" s="1908"/>
      <c r="V58" s="1908"/>
    </row>
    <row r="59" spans="1:22" ht="12.75">
      <c r="A59" s="255"/>
      <c r="B59" s="335"/>
      <c r="C59" s="335"/>
      <c r="D59" s="335"/>
      <c r="E59" s="335"/>
      <c r="F59" s="335"/>
      <c r="G59" s="335"/>
      <c r="H59" s="335"/>
      <c r="I59" s="336" t="s">
        <v>371</v>
      </c>
      <c r="J59" s="1911"/>
      <c r="K59" s="1908"/>
      <c r="L59" s="1908"/>
      <c r="M59" s="1908"/>
      <c r="N59" s="1908"/>
      <c r="O59" s="1908"/>
      <c r="P59" s="1908"/>
      <c r="Q59" s="1908"/>
      <c r="R59" s="1908"/>
      <c r="S59" s="1908"/>
      <c r="T59" s="1908"/>
      <c r="U59" s="1908"/>
      <c r="V59" s="1908"/>
    </row>
    <row r="60" spans="1:22" ht="12.75">
      <c r="A60" s="255"/>
      <c r="B60" s="255"/>
      <c r="C60" s="255"/>
      <c r="D60" s="255"/>
      <c r="E60" s="255"/>
      <c r="F60" s="255"/>
      <c r="G60" s="255"/>
      <c r="H60" s="255"/>
      <c r="I60" s="255"/>
      <c r="J60" s="1911"/>
      <c r="K60" s="1908"/>
      <c r="L60" s="1908"/>
      <c r="M60" s="1908"/>
      <c r="N60" s="1908"/>
      <c r="O60" s="1908"/>
      <c r="P60" s="1908"/>
      <c r="Q60" s="1908"/>
      <c r="R60" s="1908"/>
      <c r="S60" s="1908"/>
      <c r="T60" s="1908"/>
      <c r="U60" s="1908"/>
      <c r="V60" s="1908"/>
    </row>
    <row r="61" spans="1:22" ht="12.75">
      <c r="A61" s="255"/>
      <c r="B61" s="337"/>
      <c r="C61" s="338"/>
      <c r="D61" s="214"/>
      <c r="E61" s="214"/>
      <c r="F61" s="251"/>
      <c r="G61" s="255"/>
      <c r="H61" s="255"/>
      <c r="I61" s="255"/>
      <c r="J61" s="1911"/>
      <c r="K61" s="1908"/>
      <c r="L61" s="1908"/>
      <c r="M61" s="1908"/>
      <c r="N61" s="1908"/>
      <c r="O61" s="1908"/>
      <c r="P61" s="1908"/>
      <c r="Q61" s="1908"/>
      <c r="R61" s="1908"/>
      <c r="S61" s="1908"/>
      <c r="T61" s="1908"/>
      <c r="U61" s="1908"/>
      <c r="V61" s="1908"/>
    </row>
    <row r="62" spans="1:22" ht="18.75">
      <c r="A62" s="1236" t="s">
        <v>373</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633" t="s">
        <v>374</v>
      </c>
      <c r="B63" s="3634"/>
      <c r="C63" s="3635"/>
      <c r="D63" s="339">
        <f ca="1">ROUND(C42*F63,0)</f>
        <v>125643</v>
      </c>
      <c r="E63" s="300" t="s">
        <v>375</v>
      </c>
      <c r="F63" s="340">
        <v>1</v>
      </c>
      <c r="G63" s="341" t="s">
        <v>376</v>
      </c>
      <c r="H63" s="309"/>
      <c r="I63" s="309"/>
      <c r="J63" s="1908"/>
      <c r="K63" s="1908"/>
      <c r="L63" s="1908"/>
      <c r="M63" s="1908"/>
      <c r="N63" s="1908"/>
      <c r="O63" s="1908"/>
      <c r="P63" s="1908"/>
      <c r="Q63" s="1908"/>
      <c r="R63" s="1908"/>
      <c r="S63" s="1908"/>
      <c r="T63" s="1908"/>
      <c r="U63" s="1908"/>
      <c r="V63" s="1908"/>
    </row>
    <row r="64" spans="1:22" ht="14.25" customHeight="1">
      <c r="A64" s="3591" t="s">
        <v>378</v>
      </c>
      <c r="B64" s="3592"/>
      <c r="C64" s="3592"/>
      <c r="D64" s="3592"/>
      <c r="E64" s="3592"/>
      <c r="F64" s="3592"/>
      <c r="G64" s="3593"/>
      <c r="H64" s="1240"/>
      <c r="I64" s="936"/>
      <c r="J64" s="1899"/>
      <c r="K64" s="1495" t="s">
        <v>377</v>
      </c>
      <c r="L64" s="11"/>
      <c r="M64" s="11"/>
      <c r="N64" s="11"/>
      <c r="O64" s="11"/>
      <c r="P64" s="309"/>
      <c r="Q64" s="1908"/>
      <c r="R64" s="1908"/>
      <c r="S64" s="1908"/>
      <c r="T64" s="1908"/>
      <c r="U64" s="1908"/>
      <c r="V64" s="1908"/>
    </row>
    <row r="65" spans="1:22" ht="12" customHeight="1">
      <c r="A65" s="342" t="s">
        <v>380</v>
      </c>
      <c r="B65" s="343"/>
      <c r="C65" s="344"/>
      <c r="D65" s="345" t="s">
        <v>381</v>
      </c>
      <c r="E65" s="53" t="s">
        <v>382</v>
      </c>
      <c r="F65" s="346" t="s">
        <v>383</v>
      </c>
      <c r="G65" s="347" t="s">
        <v>384</v>
      </c>
      <c r="H65" s="1240"/>
      <c r="I65" s="936"/>
      <c r="J65" s="1899"/>
      <c r="K65" s="1241"/>
      <c r="L65" s="1242"/>
      <c r="M65" s="1242"/>
      <c r="N65" s="1274" t="s">
        <v>379</v>
      </c>
      <c r="O65" s="1275"/>
      <c r="P65" s="1276"/>
      <c r="Q65" s="1908"/>
      <c r="R65" s="1908"/>
      <c r="S65" s="1908"/>
      <c r="T65" s="1908"/>
      <c r="U65" s="1908"/>
      <c r="V65" s="1908"/>
    </row>
    <row r="66" spans="1:22" ht="25.5">
      <c r="A66" s="3587" t="s">
        <v>386</v>
      </c>
      <c r="B66" s="3588"/>
      <c r="C66" s="3588"/>
      <c r="D66" s="259">
        <f ca="1">IF(H66="情况1",0,IF(H66="情况2",D70,IF(H66="情况3",D71,IF(H66="情况4",D72))))</f>
        <v>6701</v>
      </c>
      <c r="E66" s="979" t="str">
        <f>IF(H66="情况4","(销售额-原购置价)×税（费）率","销售额×税（费）率")</f>
        <v>销售额×税（费）率</v>
      </c>
      <c r="F66" s="348">
        <f>IF(H66="情况1","免征",'数据-取费表'!B41)</f>
        <v>5.6000000000000001E-2</v>
      </c>
      <c r="G66" s="349" t="s">
        <v>387</v>
      </c>
      <c r="H66" s="189" t="s">
        <v>3054</v>
      </c>
      <c r="I66" s="1240"/>
      <c r="J66" s="1914"/>
      <c r="K66" s="1243">
        <v>1</v>
      </c>
      <c r="L66" s="3648" t="s">
        <v>385</v>
      </c>
      <c r="M66" s="3649"/>
      <c r="N66" s="2309"/>
      <c r="O66" s="2310"/>
      <c r="P66" s="2311"/>
      <c r="Q66" s="1908"/>
      <c r="R66" s="1908"/>
      <c r="S66" s="1908"/>
      <c r="T66" s="1908"/>
      <c r="U66" s="1908"/>
      <c r="V66" s="1908"/>
    </row>
    <row r="67" spans="1:22" ht="25.5" customHeight="1">
      <c r="A67" s="350" t="s">
        <v>389</v>
      </c>
      <c r="B67" s="3578" t="s">
        <v>390</v>
      </c>
      <c r="C67" s="3578"/>
      <c r="D67" s="351">
        <v>0</v>
      </c>
      <c r="E67" s="41" t="s">
        <v>391</v>
      </c>
      <c r="F67" s="62" t="s">
        <v>21</v>
      </c>
      <c r="G67" s="3636"/>
      <c r="H67" s="3003" t="s">
        <v>2960</v>
      </c>
      <c r="I67" s="3005"/>
      <c r="J67" s="1915"/>
      <c r="K67" s="1887">
        <v>2</v>
      </c>
      <c r="L67" s="3642" t="s">
        <v>388</v>
      </c>
      <c r="M67" s="3642"/>
      <c r="N67" s="1277">
        <f>'数据-取费表'!B2</f>
        <v>44377</v>
      </c>
      <c r="O67" s="1277"/>
      <c r="P67" s="1277"/>
      <c r="Q67" s="1908"/>
      <c r="R67" s="1908"/>
      <c r="S67" s="1908"/>
      <c r="T67" s="1908"/>
      <c r="U67" s="1908"/>
      <c r="V67" s="1908"/>
    </row>
    <row r="68" spans="1:22" ht="25.5" customHeight="1">
      <c r="A68" s="352"/>
      <c r="B68" s="3578" t="s">
        <v>393</v>
      </c>
      <c r="C68" s="3578"/>
      <c r="D68" s="353"/>
      <c r="E68" s="77"/>
      <c r="F68" s="354"/>
      <c r="G68" s="3637"/>
      <c r="H68" s="3004" t="s">
        <v>2961</v>
      </c>
      <c r="I68" s="3005"/>
      <c r="J68" s="1915"/>
      <c r="K68" s="1887">
        <v>3</v>
      </c>
      <c r="L68" s="3642" t="s">
        <v>392</v>
      </c>
      <c r="M68" s="3642"/>
      <c r="N68" s="1245">
        <f ca="1">C42</f>
        <v>125643</v>
      </c>
      <c r="O68" s="1245"/>
      <c r="P68" s="1245"/>
      <c r="Q68" s="1908"/>
      <c r="R68" s="1908"/>
      <c r="S68" s="1908"/>
      <c r="T68" s="1908"/>
      <c r="U68" s="1908"/>
      <c r="V68" s="1908"/>
    </row>
    <row r="69" spans="1:22" ht="23.45" customHeight="1">
      <c r="A69" s="355"/>
      <c r="B69" s="3578" t="s">
        <v>394</v>
      </c>
      <c r="C69" s="3578"/>
      <c r="D69" s="356"/>
      <c r="E69" s="73"/>
      <c r="F69" s="354"/>
      <c r="G69" s="3638"/>
      <c r="H69" s="3004" t="s">
        <v>2962</v>
      </c>
      <c r="I69" s="3005"/>
      <c r="J69" s="1915"/>
      <c r="K69" s="1246">
        <v>4</v>
      </c>
      <c r="L69" s="3652" t="s">
        <v>2859</v>
      </c>
      <c r="M69" s="3653"/>
      <c r="N69" s="3413">
        <f ca="1">C44</f>
        <v>125643</v>
      </c>
      <c r="O69" s="1247"/>
      <c r="P69" s="1247"/>
      <c r="Q69" s="1908"/>
      <c r="R69" s="1908"/>
      <c r="S69" s="1908"/>
      <c r="T69" s="1908"/>
      <c r="U69" s="1908"/>
      <c r="V69" s="1908"/>
    </row>
    <row r="70" spans="1:22" ht="24" customHeight="1">
      <c r="A70" s="357" t="s">
        <v>395</v>
      </c>
      <c r="B70" s="3578" t="s">
        <v>396</v>
      </c>
      <c r="C70" s="3578"/>
      <c r="D70" s="356">
        <f ca="1">ROUND(D63*'数据-取费表'!B41/(1+'数据-取费表'!C42),0)</f>
        <v>6701</v>
      </c>
      <c r="E70" s="17" t="s">
        <v>397</v>
      </c>
      <c r="F70" s="358">
        <f>'数据-取费表'!B41</f>
        <v>5.6000000000000001E-2</v>
      </c>
      <c r="G70" s="359"/>
      <c r="H70" s="309"/>
      <c r="I70" s="1244"/>
      <c r="J70" s="1915"/>
      <c r="K70" s="2762"/>
      <c r="L70" s="2763"/>
      <c r="M70" s="2763"/>
      <c r="N70" s="2764" t="s">
        <v>2863</v>
      </c>
      <c r="O70" s="2763"/>
      <c r="P70" s="2765"/>
      <c r="Q70" s="1908"/>
      <c r="R70" s="1908"/>
      <c r="S70" s="1908"/>
      <c r="T70" s="1908"/>
      <c r="U70" s="1908"/>
      <c r="V70" s="1908"/>
    </row>
    <row r="71" spans="1:22" ht="12" customHeight="1">
      <c r="A71" s="357" t="s">
        <v>403</v>
      </c>
      <c r="B71" s="3579" t="s">
        <v>2991</v>
      </c>
      <c r="C71" s="3580"/>
      <c r="D71" s="356">
        <f ca="1">ROUND(D63*'数据-取费表'!B41/(1+'数据-取费表'!C42),0)</f>
        <v>6701</v>
      </c>
      <c r="E71" s="17" t="s">
        <v>397</v>
      </c>
      <c r="F71" s="358">
        <f>'数据-取费表'!B41</f>
        <v>5.6000000000000001E-2</v>
      </c>
      <c r="G71" s="359"/>
      <c r="H71" s="309"/>
      <c r="I71" s="1244"/>
      <c r="J71" s="1915"/>
      <c r="K71" s="2761" t="s">
        <v>398</v>
      </c>
      <c r="L71" s="3654" t="s">
        <v>399</v>
      </c>
      <c r="M71" s="3654"/>
      <c r="N71" s="2761" t="s">
        <v>400</v>
      </c>
      <c r="O71" s="2761" t="s">
        <v>401</v>
      </c>
      <c r="P71" s="2761" t="s">
        <v>402</v>
      </c>
      <c r="Q71" s="1908"/>
      <c r="R71" s="1908"/>
      <c r="S71" s="1908"/>
      <c r="T71" s="1908"/>
      <c r="U71" s="1908"/>
      <c r="V71" s="1908"/>
    </row>
    <row r="72" spans="1:22" ht="12" customHeight="1">
      <c r="A72" s="357" t="s">
        <v>405</v>
      </c>
      <c r="B72" s="3579" t="s">
        <v>2992</v>
      </c>
      <c r="C72" s="3580"/>
      <c r="D72" s="356">
        <f ca="1">C86</f>
        <v>6701</v>
      </c>
      <c r="E72" s="73" t="s">
        <v>406</v>
      </c>
      <c r="F72" s="358">
        <f>'数据-取费表'!B41</f>
        <v>5.6000000000000001E-2</v>
      </c>
      <c r="G72" s="359"/>
      <c r="H72" s="1250"/>
      <c r="I72" s="1244"/>
      <c r="J72" s="1915"/>
      <c r="K72" s="1887">
        <v>1</v>
      </c>
      <c r="L72" s="3629" t="s">
        <v>404</v>
      </c>
      <c r="M72" s="3629"/>
      <c r="N72" s="1248">
        <f ca="1">D66</f>
        <v>6701</v>
      </c>
      <c r="O72" s="1770" t="str">
        <f>E66</f>
        <v>销售额×税（费）率</v>
      </c>
      <c r="P72" s="1249">
        <f>F66</f>
        <v>5.6000000000000001E-2</v>
      </c>
      <c r="Q72" s="1908"/>
      <c r="R72" s="1908"/>
      <c r="S72" s="1908"/>
      <c r="T72" s="1908"/>
      <c r="U72" s="1908"/>
      <c r="V72" s="1908"/>
    </row>
    <row r="73" spans="1:22" ht="24" customHeight="1">
      <c r="A73" s="3624" t="s">
        <v>408</v>
      </c>
      <c r="B73" s="3588"/>
      <c r="C73" s="3588"/>
      <c r="D73" s="360">
        <f ca="1">IF(H73="个人住宅",0,ROUND(D63*I73,0))</f>
        <v>63</v>
      </c>
      <c r="E73" s="17" t="s">
        <v>409</v>
      </c>
      <c r="F73" s="358">
        <f>IF(H73="正常",I73,"免征")</f>
        <v>5.0000000000000001E-4</v>
      </c>
      <c r="G73" s="359"/>
      <c r="H73" s="189" t="s">
        <v>3055</v>
      </c>
      <c r="I73" s="358">
        <f>'数据-取费表'!B49</f>
        <v>5.0000000000000001E-4</v>
      </c>
      <c r="J73" s="1915"/>
      <c r="K73" s="1887">
        <v>2</v>
      </c>
      <c r="L73" s="3629" t="s">
        <v>407</v>
      </c>
      <c r="M73" s="3629"/>
      <c r="N73" s="1248">
        <f t="shared" ref="N73:P74" ca="1" si="1">D73</f>
        <v>63</v>
      </c>
      <c r="O73" s="1770" t="str">
        <f t="shared" si="1"/>
        <v>销售额×税（费）率</v>
      </c>
      <c r="P73" s="1249">
        <f t="shared" si="1"/>
        <v>5.0000000000000001E-4</v>
      </c>
      <c r="Q73" s="1908"/>
      <c r="R73" s="1908"/>
      <c r="S73" s="1908"/>
      <c r="T73" s="1908"/>
      <c r="U73" s="1908"/>
      <c r="V73" s="1908"/>
    </row>
    <row r="74" spans="1:22" ht="24.75">
      <c r="A74" s="3624" t="s">
        <v>411</v>
      </c>
      <c r="B74" s="3588"/>
      <c r="C74" s="3588"/>
      <c r="D74" s="360">
        <f ca="1">IF(H74="个人住宅",D75,D76)</f>
        <v>3023</v>
      </c>
      <c r="E74" s="17" t="s">
        <v>412</v>
      </c>
      <c r="F74" s="358" t="str">
        <f>IF(H74="正常",F76,"免征")</f>
        <v>——</v>
      </c>
      <c r="G74" s="969" t="s">
        <v>413</v>
      </c>
      <c r="H74" s="361" t="s">
        <v>3055</v>
      </c>
      <c r="I74" s="42"/>
      <c r="J74" s="1915"/>
      <c r="K74" s="1887">
        <v>3</v>
      </c>
      <c r="L74" s="3629" t="s">
        <v>410</v>
      </c>
      <c r="M74" s="3629"/>
      <c r="N74" s="1248">
        <f t="shared" ca="1" si="1"/>
        <v>3023</v>
      </c>
      <c r="O74" s="1770" t="str">
        <f t="shared" si="1"/>
        <v>增值额×税（费）率</v>
      </c>
      <c r="P74" s="1251" t="str">
        <f t="shared" si="1"/>
        <v>——</v>
      </c>
      <c r="Q74" s="1908"/>
      <c r="R74" s="1908"/>
      <c r="S74" s="1908"/>
      <c r="T74" s="1908"/>
      <c r="U74" s="1908"/>
      <c r="V74" s="1908"/>
    </row>
    <row r="75" spans="1:22" ht="12.75">
      <c r="A75" s="357" t="s">
        <v>414</v>
      </c>
      <c r="B75" s="3576" t="s">
        <v>415</v>
      </c>
      <c r="C75" s="3612"/>
      <c r="D75" s="362">
        <v>0</v>
      </c>
      <c r="E75" s="41" t="s">
        <v>416</v>
      </c>
      <c r="F75" s="363"/>
      <c r="G75" s="359"/>
      <c r="H75" s="42"/>
      <c r="I75" s="42"/>
      <c r="J75" s="1915"/>
      <c r="K75" s="2755" t="str">
        <f>IF(H77="非个人房产","",4)</f>
        <v/>
      </c>
      <c r="L75" s="3629" t="str">
        <f>IF(H77="非个人房产","——","个人所得税")</f>
        <v>——</v>
      </c>
      <c r="M75" s="3629"/>
      <c r="N75" s="1252" t="str">
        <f>D77</f>
        <v>——</v>
      </c>
      <c r="O75" s="1783" t="str">
        <f>E77</f>
        <v>——</v>
      </c>
      <c r="P75" s="1253" t="str">
        <f>F77</f>
        <v>——</v>
      </c>
      <c r="Q75" s="1908"/>
      <c r="R75" s="1908"/>
      <c r="S75" s="1908"/>
      <c r="T75" s="1908"/>
      <c r="U75" s="1908"/>
      <c r="V75" s="1908"/>
    </row>
    <row r="76" spans="1:22" ht="24.75">
      <c r="A76" s="357" t="s">
        <v>395</v>
      </c>
      <c r="B76" s="3576" t="s">
        <v>418</v>
      </c>
      <c r="C76" s="3577"/>
      <c r="D76" s="360">
        <f ca="1">IF(H76="转让取得",C99,C115)</f>
        <v>3023</v>
      </c>
      <c r="E76" s="17" t="s">
        <v>419</v>
      </c>
      <c r="F76" s="53" t="s">
        <v>21</v>
      </c>
      <c r="G76" s="359"/>
      <c r="H76" s="361" t="s">
        <v>3056</v>
      </c>
      <c r="I76" s="42"/>
      <c r="J76" s="1915"/>
      <c r="K76" s="2755" t="str">
        <f>IF(项目基本情况!K6="上海银行",IF(K75="",4,K75+1),"")</f>
        <v/>
      </c>
      <c r="L76" s="3644" t="str">
        <f>IF(项目基本情况!K6="上海银行","其他处置费用","")</f>
        <v/>
      </c>
      <c r="M76" s="3645"/>
      <c r="N76" s="1248" t="str">
        <f>IF(项目基本情况!K6="上海银行",N89,"")</f>
        <v/>
      </c>
      <c r="O76" s="3646" t="str">
        <f>IF(项目基本情况!K6="上海银行","包含处置中涉及的律师、诉讼、拍卖、评估等费用","")</f>
        <v/>
      </c>
      <c r="P76" s="3647"/>
      <c r="Q76" s="1908"/>
      <c r="R76" s="1908"/>
      <c r="S76" s="1908"/>
      <c r="T76" s="1908"/>
      <c r="U76" s="1908"/>
      <c r="V76" s="1908"/>
    </row>
    <row r="77" spans="1:22" ht="24.75" thickBot="1">
      <c r="A77" s="3631" t="s">
        <v>421</v>
      </c>
      <c r="B77" s="3632"/>
      <c r="C77" s="3632"/>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0" t="s">
        <v>413</v>
      </c>
      <c r="H77" s="3007" t="s">
        <v>3057</v>
      </c>
      <c r="I77" s="3006" t="s">
        <v>2963</v>
      </c>
      <c r="J77" s="1915"/>
      <c r="K77" s="3630">
        <f>IF(AND(K75="",K76=""),4,IF(项目基本情况!K6="上海银行",K76+1,K75+1))</f>
        <v>4</v>
      </c>
      <c r="L77" s="3629" t="s">
        <v>2860</v>
      </c>
      <c r="M77" s="2760" t="s">
        <v>417</v>
      </c>
      <c r="N77" s="1254"/>
      <c r="O77" s="1255">
        <f ca="1">SUMIF(N72:N76,"&lt;9e307")</f>
        <v>9787</v>
      </c>
      <c r="P77" s="1256"/>
      <c r="Q77" s="2758">
        <f ca="1">O77/N69</f>
        <v>7.789530654314207E-2</v>
      </c>
      <c r="R77" s="1908"/>
      <c r="S77" s="1908"/>
      <c r="T77" s="1908"/>
      <c r="U77" s="1908"/>
      <c r="V77" s="1908"/>
    </row>
    <row r="78" spans="1:22" ht="12" customHeight="1">
      <c r="A78" s="1257"/>
      <c r="B78" s="309"/>
      <c r="C78" s="309"/>
      <c r="D78" s="309"/>
      <c r="E78" s="42"/>
      <c r="F78" s="42"/>
      <c r="G78" s="42"/>
      <c r="H78" s="989"/>
      <c r="I78" s="309"/>
      <c r="J78" s="1915"/>
      <c r="K78" s="3630"/>
      <c r="L78" s="3629"/>
      <c r="M78" s="2760" t="s">
        <v>420</v>
      </c>
      <c r="N78" s="1254"/>
      <c r="O78" s="1255" t="str">
        <f ca="1">NUMBERSTRING(INT(O77*10000),2)&amp;"元整"</f>
        <v>玖仟柒佰捌拾柒万元整</v>
      </c>
      <c r="P78" s="1256"/>
      <c r="Q78" s="1908"/>
      <c r="R78" s="1908"/>
      <c r="S78" s="1908"/>
      <c r="T78" s="1908"/>
      <c r="U78" s="1908"/>
      <c r="V78" s="1908"/>
    </row>
    <row r="79" spans="1:22" ht="13.5" thickBot="1">
      <c r="A79" s="3596" t="s">
        <v>422</v>
      </c>
      <c r="B79" s="3596"/>
      <c r="C79" s="3596"/>
      <c r="D79" s="3596"/>
      <c r="E79" s="3596"/>
      <c r="F79" s="42"/>
      <c r="G79" s="42"/>
      <c r="H79" s="989"/>
      <c r="I79" s="309"/>
      <c r="J79" s="1915"/>
      <c r="K79" s="3650">
        <f>K77+1</f>
        <v>5</v>
      </c>
      <c r="L79" s="3629" t="s">
        <v>2861</v>
      </c>
      <c r="M79" s="2760" t="s">
        <v>417</v>
      </c>
      <c r="N79" s="1254"/>
      <c r="O79" s="3414">
        <f ca="1">N69-O77</f>
        <v>115856</v>
      </c>
      <c r="P79" s="1256"/>
      <c r="Q79" s="1908"/>
      <c r="R79" s="1908"/>
      <c r="S79" s="1908"/>
      <c r="T79" s="1908"/>
      <c r="U79" s="1908"/>
      <c r="V79" s="1908"/>
    </row>
    <row r="80" spans="1:22" ht="25.5">
      <c r="A80" s="3597" t="s">
        <v>423</v>
      </c>
      <c r="B80" s="3598"/>
      <c r="C80" s="980"/>
      <c r="D80" s="980" t="s">
        <v>424</v>
      </c>
      <c r="E80" s="364" t="s">
        <v>425</v>
      </c>
      <c r="F80" s="42"/>
      <c r="G80" s="42"/>
      <c r="H80" s="989"/>
      <c r="I80" s="309"/>
      <c r="J80" s="1908"/>
      <c r="K80" s="3651"/>
      <c r="L80" s="3629"/>
      <c r="M80" s="2760" t="s">
        <v>420</v>
      </c>
      <c r="N80" s="1254"/>
      <c r="O80" s="1255" t="str">
        <f ca="1">NUMBERSTRING(INT(O79*10000),2)&amp;"元整"</f>
        <v>壹拾壹亿伍仟捌佰伍拾陆万元整</v>
      </c>
      <c r="P80" s="1256"/>
      <c r="Q80" s="1908"/>
      <c r="R80" s="1908"/>
      <c r="S80" s="1908"/>
      <c r="T80" s="1908"/>
      <c r="U80" s="1908"/>
      <c r="V80" s="1908"/>
    </row>
    <row r="81" spans="1:26" ht="13.5" thickBot="1">
      <c r="A81" s="375" t="s">
        <v>1813</v>
      </c>
      <c r="B81" s="365" t="s">
        <v>426</v>
      </c>
      <c r="C81" s="366">
        <f ca="1">ROUND((C82+C83)/(1+'数据-取费表'!C42),0)</f>
        <v>119660</v>
      </c>
      <c r="D81" s="367"/>
      <c r="E81" s="368"/>
      <c r="F81" s="42"/>
      <c r="G81" s="42"/>
      <c r="H81" s="989"/>
      <c r="I81" s="309"/>
      <c r="J81" s="1908"/>
      <c r="K81" s="2755">
        <f>K79+1</f>
        <v>6</v>
      </c>
      <c r="L81" s="3627" t="s">
        <v>2862</v>
      </c>
      <c r="M81" s="3628"/>
      <c r="N81" s="1258"/>
      <c r="O81" s="1259">
        <f ca="1">ROUND(O79*10000/'数据-汇总表'!E3,0)</f>
        <v>5878</v>
      </c>
      <c r="P81" s="1260"/>
      <c r="Q81" s="1908"/>
      <c r="R81" s="1908"/>
      <c r="S81" s="1908"/>
      <c r="T81" s="1908"/>
      <c r="U81" s="1908"/>
      <c r="V81" s="1908"/>
    </row>
    <row r="82" spans="1:26" ht="13.5" thickTop="1">
      <c r="A82" s="369" t="s">
        <v>1814</v>
      </c>
      <c r="B82" s="370" t="s">
        <v>427</v>
      </c>
      <c r="C82" s="371">
        <f ca="1">D63</f>
        <v>125643</v>
      </c>
      <c r="D82" s="372" t="s">
        <v>19</v>
      </c>
      <c r="E82" s="373"/>
      <c r="F82" s="42"/>
      <c r="G82" s="42"/>
      <c r="H82" s="989"/>
      <c r="I82" s="309"/>
      <c r="J82" s="1908"/>
      <c r="K82" s="1908"/>
      <c r="L82" s="1908"/>
      <c r="M82" s="1908"/>
      <c r="N82" s="1908"/>
      <c r="O82" s="1908"/>
      <c r="P82" s="1908"/>
      <c r="Q82" s="1908"/>
      <c r="R82" s="1908"/>
      <c r="S82" s="1908"/>
      <c r="T82" s="1908"/>
      <c r="U82" s="1908"/>
      <c r="V82" s="1908"/>
    </row>
    <row r="83" spans="1:26" ht="12.75">
      <c r="A83" s="369" t="s">
        <v>1815</v>
      </c>
      <c r="B83" s="370" t="s">
        <v>428</v>
      </c>
      <c r="C83" s="374"/>
      <c r="D83" s="372"/>
      <c r="E83" s="373"/>
      <c r="F83" s="42"/>
      <c r="G83" s="42"/>
      <c r="H83" s="989"/>
      <c r="I83" s="309"/>
      <c r="J83" s="1908"/>
      <c r="K83" s="3643" t="s">
        <v>2850</v>
      </c>
      <c r="L83" s="2766" t="s">
        <v>2851</v>
      </c>
      <c r="M83" s="2756">
        <f ca="1">IF(N69&gt;10000,N69*0.5%,IF(AND(N69&gt;1000,N69&lt;=10000),N69*1%,IF(AND(N69&gt;100,N69&lt;=1000),N69*3%,IF(AND(N69&gt;10,N69&lt;=100),N69*5%,N69*8%))))</f>
        <v>628.21500000000003</v>
      </c>
      <c r="N83" s="53">
        <f ca="1">ROUND(M83,1)</f>
        <v>628.20000000000005</v>
      </c>
      <c r="O83" s="2759"/>
      <c r="P83" s="1908"/>
      <c r="Q83" s="1908"/>
      <c r="R83" s="1908"/>
      <c r="S83" s="1908"/>
      <c r="T83" s="1908"/>
      <c r="U83" s="1908"/>
      <c r="V83" s="1908"/>
    </row>
    <row r="84" spans="1:26" ht="12.75">
      <c r="A84" s="375" t="s">
        <v>1816</v>
      </c>
      <c r="B84" s="376" t="s">
        <v>429</v>
      </c>
      <c r="C84" s="377"/>
      <c r="D84" s="378" t="s">
        <v>19</v>
      </c>
      <c r="E84" s="2784" t="s">
        <v>2901</v>
      </c>
      <c r="F84" s="42"/>
      <c r="G84" s="42"/>
      <c r="H84" s="989"/>
      <c r="I84" s="309"/>
      <c r="J84" s="1908"/>
      <c r="K84" s="3643"/>
      <c r="L84" s="2766" t="s">
        <v>2852</v>
      </c>
      <c r="M84" s="2756">
        <f ca="1">IF(N69&gt;2000,N69*0.5%,IF(AND(N69&gt;1000,N69&lt;=2000),N69*0.6%,IF(AND(N69&gt;500,N69&lt;=1000),N69*0.7%,IF(AND(N69&gt;200,N69&lt;=500),N69*0.8%,IF(AND(N69&gt;100,N69&lt;=200),N69*0.9%,IF(AND(N69&gt;50,N69&lt;=100),N69*1%,IF(AND(N69&gt;20,N69&lt;=50),N69*1.5%,IF(AND(N69&gt;10,N69&lt;=20),N69*2%,IF(AND(N69&gt;1,N69&lt;=10),N69*2.5%)))))))))</f>
        <v>628.21500000000003</v>
      </c>
      <c r="N84" s="53">
        <f t="shared" ref="N84:N85" ca="1" si="2">ROUND(M84,1)</f>
        <v>628.20000000000005</v>
      </c>
      <c r="O84" s="1908" t="s">
        <v>2853</v>
      </c>
      <c r="P84" s="1908"/>
      <c r="Q84" s="1908"/>
      <c r="R84" s="1908"/>
      <c r="S84" s="1908"/>
      <c r="T84" s="1908"/>
      <c r="U84" s="1908"/>
      <c r="V84" s="1908"/>
    </row>
    <row r="85" spans="1:26" ht="12.75">
      <c r="A85" s="375" t="s">
        <v>1817</v>
      </c>
      <c r="B85" s="376" t="s">
        <v>430</v>
      </c>
      <c r="C85" s="379">
        <f ca="1">C81-C84</f>
        <v>119660</v>
      </c>
      <c r="D85" s="372" t="s">
        <v>19</v>
      </c>
      <c r="E85" s="373"/>
      <c r="F85" s="42"/>
      <c r="G85" s="42"/>
      <c r="H85" s="989"/>
      <c r="I85" s="309"/>
      <c r="J85" s="1908"/>
      <c r="K85" s="3643"/>
      <c r="L85" s="2766" t="s">
        <v>2854</v>
      </c>
      <c r="M85" s="2756">
        <f ca="1">IF(N69&gt;1000,N69*0.1%,IF(AND(N69&gt;500,N69&lt;=1000),N69*0.5%,IF(AND(N69&gt;50,N69&lt;=500),N69*1%,IF(AND(N69&gt;1,N69&lt;=50),N69*1.5%))))</f>
        <v>125.643</v>
      </c>
      <c r="N85" s="53">
        <f t="shared" ca="1" si="2"/>
        <v>125.6</v>
      </c>
      <c r="O85" s="1908" t="s">
        <v>2853</v>
      </c>
      <c r="P85" s="1908"/>
      <c r="Q85" s="1908"/>
      <c r="R85" s="1908"/>
      <c r="S85" s="1908"/>
      <c r="T85" s="1908"/>
      <c r="U85" s="1908"/>
      <c r="V85" s="1908"/>
    </row>
    <row r="86" spans="1:26" ht="13.5" thickBot="1">
      <c r="A86" s="380" t="s">
        <v>1818</v>
      </c>
      <c r="B86" s="381" t="s">
        <v>431</v>
      </c>
      <c r="C86" s="382">
        <f ca="1">IF(C85&lt;=0,0,ROUND(C85*D86,0))</f>
        <v>6701</v>
      </c>
      <c r="D86" s="383">
        <f>'数据-取费表'!B41</f>
        <v>5.6000000000000001E-2</v>
      </c>
      <c r="E86" s="384"/>
      <c r="F86" s="42"/>
      <c r="G86" s="42"/>
      <c r="H86" s="989"/>
      <c r="I86" s="309"/>
      <c r="J86" s="1908"/>
      <c r="K86" s="3643"/>
      <c r="L86" s="2766" t="s">
        <v>2855</v>
      </c>
      <c r="M86" s="2756">
        <f ca="1">N69*0.5%</f>
        <v>628.21500000000003</v>
      </c>
      <c r="N86" s="53">
        <f ca="1">IF(M86&gt;0.5,0.5,ROUND(M86,0))</f>
        <v>0.5</v>
      </c>
      <c r="O86" s="1908" t="s">
        <v>2856</v>
      </c>
      <c r="P86" s="1908"/>
      <c r="Q86" s="1908"/>
      <c r="R86" s="1908"/>
      <c r="S86" s="1908"/>
      <c r="T86" s="1908"/>
      <c r="U86" s="1908"/>
      <c r="V86" s="1908"/>
    </row>
    <row r="87" spans="1:26" s="1206" customFormat="1" ht="14.25" customHeight="1">
      <c r="A87" s="1261"/>
      <c r="B87" s="1262"/>
      <c r="C87" s="1263"/>
      <c r="D87" s="1264"/>
      <c r="E87" s="1265"/>
      <c r="F87" s="42"/>
      <c r="G87" s="42"/>
      <c r="H87" s="989"/>
      <c r="I87" s="309"/>
      <c r="J87" s="1908"/>
      <c r="K87" s="3643"/>
      <c r="L87" s="2766" t="s">
        <v>2857</v>
      </c>
      <c r="M87" s="2756">
        <f ca="1">IF(N69&gt;=10000,(8.25+(N69-10000)*0.01%),IF(AND(N69&gt;=8000,N69&lt;10000),(7.85+(N69-8000)*0.02%),IF(AND(N69&gt;=5000,N69&lt;8000),(6.65+(N69-5000)*0.04%),IF(AND(N69&gt;=2000,N69&lt;5000),(4.25+(PN69-2000)*0.08%),IF(AND(N69&gt;=1000,N69&lt;2000),(2.75+(N69-1000)*0.15%),IF(AND(N69&gt;=100,N69&lt;1000),(0.5+(N69-100)*0.25%),IF(AND(N69&gt;0,N69&lt;100),N69*0.5%)))))))</f>
        <v>19.814300000000003</v>
      </c>
      <c r="N87" s="53">
        <f ca="1">ROUND(M87*0.9,1)</f>
        <v>17.8</v>
      </c>
      <c r="O87" s="2759"/>
      <c r="P87" s="1908"/>
      <c r="Q87" s="1908"/>
      <c r="R87" s="1908"/>
      <c r="S87" s="1908"/>
      <c r="T87" s="1908"/>
      <c r="U87" s="1908"/>
      <c r="V87" s="1908"/>
      <c r="W87" s="290"/>
      <c r="X87" s="290"/>
      <c r="Y87" s="290"/>
      <c r="Z87" s="290"/>
    </row>
    <row r="88" spans="1:26" s="1266" customFormat="1" ht="15" thickBot="1">
      <c r="A88" s="3622" t="s">
        <v>432</v>
      </c>
      <c r="B88" s="3623"/>
      <c r="C88" s="3623"/>
      <c r="D88" s="3623"/>
      <c r="E88" s="3623"/>
      <c r="F88" s="3623"/>
      <c r="G88" s="3623"/>
      <c r="H88" s="3623"/>
      <c r="I88" s="1267"/>
      <c r="J88" s="1916"/>
      <c r="K88" s="3643"/>
      <c r="L88" s="2766" t="s">
        <v>2858</v>
      </c>
      <c r="M88" s="2756">
        <f ca="1">IF(N69&gt;10000,N69*0.5%,IF(AND(N69&gt;5000,N69&lt;=10000),N69*1%,IF(AND(N69&gt;1000,N69&lt;=5000),N69*2%,IF(AND(N69&gt;200,N69&lt;=1000),N69*3%,N69*5%))))</f>
        <v>628.21500000000003</v>
      </c>
      <c r="N88" s="53">
        <f ca="1">ROUND(M88,1)</f>
        <v>628.20000000000005</v>
      </c>
      <c r="O88" s="2759"/>
      <c r="P88" s="1913"/>
      <c r="Q88" s="1913"/>
      <c r="R88" s="1913"/>
      <c r="S88" s="1913"/>
      <c r="T88" s="1913"/>
      <c r="U88" s="1913"/>
      <c r="V88" s="1913"/>
      <c r="W88" s="1917"/>
      <c r="X88" s="1917"/>
      <c r="Y88" s="1917"/>
      <c r="Z88" s="1917"/>
    </row>
    <row r="89" spans="1:26" s="1266" customFormat="1" ht="14.25">
      <c r="A89" s="3597" t="s">
        <v>423</v>
      </c>
      <c r="B89" s="3598"/>
      <c r="C89" s="980"/>
      <c r="D89" s="980" t="s">
        <v>424</v>
      </c>
      <c r="E89" s="385" t="s">
        <v>433</v>
      </c>
      <c r="F89" s="386"/>
      <c r="G89" s="386"/>
      <c r="H89" s="387"/>
      <c r="I89" s="1268"/>
      <c r="J89" s="1918"/>
      <c r="K89" s="3643"/>
      <c r="L89" s="2766" t="s">
        <v>27</v>
      </c>
      <c r="M89" s="2757"/>
      <c r="N89" s="53">
        <f ca="1">ROUND(SUM(N83:N88),0)</f>
        <v>2029</v>
      </c>
      <c r="O89" s="2767">
        <f ca="1">N89/N69</f>
        <v>1.6148929904570886E-2</v>
      </c>
      <c r="P89" s="1913"/>
      <c r="Q89" s="1913"/>
      <c r="R89" s="1913"/>
      <c r="S89" s="1913"/>
      <c r="T89" s="1913"/>
      <c r="U89" s="1913"/>
      <c r="V89" s="1913"/>
      <c r="W89" s="1917"/>
      <c r="X89" s="1917"/>
      <c r="Y89" s="1917"/>
      <c r="Z89" s="1917"/>
    </row>
    <row r="90" spans="1:26" s="1266" customFormat="1" ht="14.25">
      <c r="A90" s="375" t="s">
        <v>1813</v>
      </c>
      <c r="B90" s="376" t="s">
        <v>434</v>
      </c>
      <c r="C90" s="379">
        <f ca="1">ROUND(D63/(1+'数据-取费表'!C42),0)</f>
        <v>119660</v>
      </c>
      <c r="D90" s="372" t="s">
        <v>19</v>
      </c>
      <c r="E90" s="977"/>
      <c r="F90" s="976"/>
      <c r="G90" s="976"/>
      <c r="H90" s="388"/>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5" t="s">
        <v>1819</v>
      </c>
      <c r="B91" s="346" t="s">
        <v>435</v>
      </c>
      <c r="C91" s="379">
        <f ca="1">C92+C96</f>
        <v>718</v>
      </c>
      <c r="D91" s="372" t="s">
        <v>19</v>
      </c>
      <c r="E91" s="977"/>
      <c r="F91" s="976"/>
      <c r="G91" s="976"/>
      <c r="H91" s="388"/>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9" t="s">
        <v>1820</v>
      </c>
      <c r="B92" s="370" t="s">
        <v>436</v>
      </c>
      <c r="C92" s="372">
        <f>ROUND(IF(G95="2016年5月1日后购买",C93/(1+'数据-取费表'!C30)+C94+C95,C93+C94+C95),0)</f>
        <v>0</v>
      </c>
      <c r="D92" s="372" t="s">
        <v>19</v>
      </c>
      <c r="E92" s="977"/>
      <c r="F92" s="976"/>
      <c r="G92" s="976"/>
      <c r="H92" s="388"/>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9" t="s">
        <v>1821</v>
      </c>
      <c r="B93" s="370" t="s">
        <v>437</v>
      </c>
      <c r="C93" s="390"/>
      <c r="D93" s="372" t="s">
        <v>19</v>
      </c>
      <c r="E93" s="391" t="s">
        <v>438</v>
      </c>
      <c r="F93" s="392"/>
      <c r="G93" s="391" t="s">
        <v>439</v>
      </c>
      <c r="H93" s="393">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9" t="s">
        <v>1822</v>
      </c>
      <c r="B94" s="394" t="s">
        <v>440</v>
      </c>
      <c r="C94" s="372">
        <f>IF(F93="购房发票",ROUND(C93*H93*5%,0),0)</f>
        <v>0</v>
      </c>
      <c r="D94" s="395">
        <v>0.05</v>
      </c>
      <c r="E94" s="3579" t="s">
        <v>441</v>
      </c>
      <c r="F94" s="3578"/>
      <c r="G94" s="3578"/>
      <c r="H94" s="3621"/>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9" t="s">
        <v>1824</v>
      </c>
      <c r="B96" s="370" t="s">
        <v>444</v>
      </c>
      <c r="C96" s="399">
        <f ca="1">ROUND(D63*D96/(1+'数据-取费表'!C42),0)</f>
        <v>718</v>
      </c>
      <c r="D96" s="400">
        <f>'数据-取费表'!B43</f>
        <v>6.000000000000001E-3</v>
      </c>
      <c r="E96" s="3613" t="s">
        <v>2411</v>
      </c>
      <c r="F96" s="3614"/>
      <c r="G96" s="3614"/>
      <c r="H96" s="3615"/>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1825</v>
      </c>
      <c r="B97" s="376" t="s">
        <v>445</v>
      </c>
      <c r="C97" s="379">
        <f ca="1">C90-C91</f>
        <v>118942</v>
      </c>
      <c r="D97" s="372" t="s">
        <v>19</v>
      </c>
      <c r="E97" s="977"/>
      <c r="F97" s="976"/>
      <c r="G97" s="976"/>
      <c r="H97" s="388"/>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1826</v>
      </c>
      <c r="B98" s="376" t="s">
        <v>446</v>
      </c>
      <c r="C98" s="401">
        <f ca="1">IF(C97&lt;=0,0,C97/C91)</f>
        <v>165.65738161559889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1827</v>
      </c>
      <c r="B99" s="381" t="s">
        <v>447</v>
      </c>
      <c r="C99" s="402">
        <f ca="1">ROUND(IF(C97&lt;=0,0,IF(C98&gt;=200%,C97*60%-C91*35%,IF(C98&gt;=100%,C97*50%-C91*15%,IF(C98&gt;=50%,C97*40%-C91*5%,IF(C98&lt;50%,C97*30%,0))))),0)</f>
        <v>71114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622" t="s">
        <v>448</v>
      </c>
      <c r="B101" s="3623"/>
      <c r="C101" s="3623"/>
      <c r="D101" s="3623"/>
      <c r="E101" s="3623"/>
      <c r="F101" s="3623"/>
      <c r="G101" s="3623"/>
      <c r="H101" s="3623"/>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597" t="s">
        <v>423</v>
      </c>
      <c r="B102" s="3598"/>
      <c r="C102" s="980"/>
      <c r="D102" s="980" t="s">
        <v>424</v>
      </c>
      <c r="E102" s="385" t="s">
        <v>433</v>
      </c>
      <c r="F102" s="386"/>
      <c r="G102" s="386"/>
      <c r="H102" s="407"/>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5" t="s">
        <v>1813</v>
      </c>
      <c r="B103" s="376" t="s">
        <v>434</v>
      </c>
      <c r="C103" s="379">
        <f ca="1">ROUND(D63/(1+'数据-取费表'!C42),0)</f>
        <v>119660</v>
      </c>
      <c r="D103" s="372" t="s">
        <v>19</v>
      </c>
      <c r="E103" s="977"/>
      <c r="F103" s="976"/>
      <c r="G103" s="976"/>
      <c r="H103" s="408"/>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5" t="s">
        <v>1819</v>
      </c>
      <c r="B104" s="346" t="s">
        <v>435</v>
      </c>
      <c r="C104" s="379">
        <f ca="1">IF(H106="仅含出让金",C105+C108+C109+C110+C111+C112,C105+C109+C110+C111+C112)</f>
        <v>109585.39</v>
      </c>
      <c r="D104" s="409"/>
      <c r="E104" s="977"/>
      <c r="F104" s="976"/>
      <c r="G104" s="976"/>
      <c r="H104" s="408"/>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9" t="s">
        <v>1820</v>
      </c>
      <c r="B105" s="370" t="s">
        <v>449</v>
      </c>
      <c r="C105" s="399">
        <f>C106+C107</f>
        <v>93333</v>
      </c>
      <c r="D105" s="400"/>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9" t="s">
        <v>1821</v>
      </c>
      <c r="B106" s="370" t="s">
        <v>450</v>
      </c>
      <c r="C106" s="410">
        <v>89700</v>
      </c>
      <c r="D106" s="400"/>
      <c r="E106" s="411" t="s">
        <v>451</v>
      </c>
      <c r="F106" s="972"/>
      <c r="G106" s="412" t="s">
        <v>452</v>
      </c>
      <c r="H106" s="413" t="s">
        <v>3058</v>
      </c>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9" t="s">
        <v>1822</v>
      </c>
      <c r="B107" s="370" t="s">
        <v>442</v>
      </c>
      <c r="C107" s="399">
        <f>ROUND(C106*D107,0)</f>
        <v>3633</v>
      </c>
      <c r="D107" s="400">
        <f>'数据-取费表'!B48+'数据-取费表'!B49</f>
        <v>4.0500000000000001E-2</v>
      </c>
      <c r="E107" s="411" t="s">
        <v>453</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9" t="s">
        <v>1824</v>
      </c>
      <c r="B108" s="370" t="s">
        <v>454</v>
      </c>
      <c r="C108" s="410"/>
      <c r="D108" s="400"/>
      <c r="E108" s="411" t="str">
        <f>IF(H106="-","土地取得成本中已包含该笔费用"," ")</f>
        <v xml:space="preserve"> </v>
      </c>
      <c r="F108" s="972"/>
      <c r="G108" s="3573" t="s">
        <v>2955</v>
      </c>
      <c r="H108" s="3574"/>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1828</v>
      </c>
      <c r="B109" s="370" t="s">
        <v>455</v>
      </c>
      <c r="C109" s="399">
        <f>IF(H109="——",IF(F1="现房",'剩余法-现房'!C18,0),I109)</f>
        <v>15534.39</v>
      </c>
      <c r="D109" s="400"/>
      <c r="E109" s="3616" t="s">
        <v>456</v>
      </c>
      <c r="F109" s="3614"/>
      <c r="G109" s="3614"/>
      <c r="H109" s="1852" t="s">
        <v>3490</v>
      </c>
      <c r="I109" s="1853">
        <f>2456.05+3456.42+9621.92</f>
        <v>15534.39</v>
      </c>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1829</v>
      </c>
      <c r="B110" s="370" t="s">
        <v>457</v>
      </c>
      <c r="C110" s="399">
        <f>ROUND((C105+C108+C109)*D110,0)</f>
        <v>0</v>
      </c>
      <c r="D110" s="3272">
        <v>0</v>
      </c>
      <c r="E110" s="3616" t="s">
        <v>458</v>
      </c>
      <c r="F110" s="3614"/>
      <c r="G110" s="3614"/>
      <c r="H110" s="3615"/>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1830</v>
      </c>
      <c r="B111" s="370" t="s">
        <v>444</v>
      </c>
      <c r="C111" s="399">
        <f ca="1">ROUND(D63*D111/(1+'数据-取费表'!C42),0)</f>
        <v>718</v>
      </c>
      <c r="D111" s="400">
        <f>'数据-取费表'!B43</f>
        <v>6.000000000000001E-3</v>
      </c>
      <c r="E111" s="3613" t="s">
        <v>2411</v>
      </c>
      <c r="F111" s="3614"/>
      <c r="G111" s="3614"/>
      <c r="H111" s="3615"/>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1831</v>
      </c>
      <c r="B112" s="370" t="s">
        <v>459</v>
      </c>
      <c r="C112" s="399">
        <f>ROUND(C108*D112,0)</f>
        <v>0</v>
      </c>
      <c r="D112" s="400">
        <v>0.2</v>
      </c>
      <c r="E112" s="3616" t="s">
        <v>2434</v>
      </c>
      <c r="F112" s="3614"/>
      <c r="G112" s="3614"/>
      <c r="H112" s="3615"/>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1825</v>
      </c>
      <c r="B113" s="376" t="s">
        <v>445</v>
      </c>
      <c r="C113" s="379">
        <f ca="1">ROUND(C103-C104,0)</f>
        <v>10075</v>
      </c>
      <c r="D113" s="372" t="s">
        <v>19</v>
      </c>
      <c r="E113" s="977"/>
      <c r="F113" s="976"/>
      <c r="G113" s="976"/>
      <c r="H113" s="408"/>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1826</v>
      </c>
      <c r="B114" s="376" t="s">
        <v>446</v>
      </c>
      <c r="C114" s="401">
        <f ca="1">IF(C113&lt;=0,0,C113/C104)</f>
        <v>9.1937438010669129E-2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1827</v>
      </c>
      <c r="B115" s="381" t="s">
        <v>447</v>
      </c>
      <c r="C115" s="402">
        <f ca="1">ROUND(IF(C113&lt;=0,0,IF(C114&gt;=200%,C113*60%-C104*35%,IF(C114&gt;=100%,C113*50%-C104*15%,IF(C114&gt;=50%,C113*40%-C104*5%,IF(C114&lt;50%,C113*30%,0))))),0)</f>
        <v>3023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5" customFormat="1" ht="21.75" customHeight="1">
      <c r="K185" s="1921"/>
      <c r="L185" s="1921"/>
      <c r="M185" s="1921"/>
      <c r="N185" s="1921"/>
      <c r="O185" s="192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1891</v>
      </c>
      <c r="B36" s="1579" t="s">
        <v>1892</v>
      </c>
    </row>
    <row r="37" spans="1:9" ht="28.5" customHeight="1">
      <c r="A37" s="1579"/>
      <c r="B37" s="3473" t="str">
        <f>项目基本情况!B1</f>
        <v>湖北省武汉市武昌区中北路（不动产单元号：420106011011GB00066W00000000）一宗商业服务用地出让国有建设用地使用权抵押价格预评估</v>
      </c>
      <c r="C37" s="3473"/>
      <c r="D37" s="3473"/>
      <c r="E37" s="3473"/>
      <c r="F37" s="3473"/>
      <c r="G37" s="3473"/>
      <c r="H37" s="3473"/>
      <c r="I37" s="3473"/>
    </row>
    <row r="38" spans="1:9">
      <c r="A38" s="1581"/>
      <c r="B38" s="1581"/>
    </row>
    <row r="39" spans="1:9">
      <c r="A39" s="1579" t="s">
        <v>1891</v>
      </c>
      <c r="B39" s="1579" t="s">
        <v>2033</v>
      </c>
    </row>
    <row r="40" spans="1:9">
      <c r="A40" s="1579"/>
      <c r="B40" s="1579">
        <f>项目基本情况!B5</f>
        <v>0</v>
      </c>
    </row>
    <row r="41" spans="1:9">
      <c r="A41" s="1579"/>
      <c r="B41" s="1579"/>
    </row>
    <row r="42" spans="1:9">
      <c r="A42" s="1579" t="s">
        <v>1891</v>
      </c>
      <c r="B42" s="1579" t="s">
        <v>2034</v>
      </c>
    </row>
    <row r="43" spans="1:9">
      <c r="A43" s="1579"/>
      <c r="B43" s="1579" t="s">
        <v>1893</v>
      </c>
    </row>
    <row r="44" spans="1:9">
      <c r="A44" s="1579"/>
      <c r="B44" s="1579"/>
    </row>
    <row r="45" spans="1:9">
      <c r="A45" s="1579" t="s">
        <v>1891</v>
      </c>
      <c r="B45" s="1579" t="s">
        <v>2032</v>
      </c>
    </row>
    <row r="46" spans="1:9" s="1579" customFormat="1" ht="12.75">
      <c r="B46" s="1579" t="str">
        <f>项目基本情况!K4</f>
        <v>吴薇、郑燚</v>
      </c>
    </row>
    <row r="47" spans="1:9">
      <c r="A47" s="1579"/>
      <c r="B47" s="1579"/>
    </row>
    <row r="48" spans="1:9">
      <c r="A48" s="1579" t="s">
        <v>1891</v>
      </c>
      <c r="B48" s="1579" t="s">
        <v>2035</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5"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41" s="1921" customFormat="1" ht="18" customHeight="1">
      <c r="A2" s="417" t="s">
        <v>461</v>
      </c>
      <c r="B2" s="418">
        <f ca="1">C32</f>
        <v>0</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41" s="1921" customFormat="1" ht="18" customHeight="1">
      <c r="A3" s="1327" t="s">
        <v>1674</v>
      </c>
      <c r="B3" s="419">
        <f ca="1">ROUND(B2*10000/IF(B1="",'数据-汇总表'!E3,INDIRECT("'数据-取费表'!K"&amp;$K$1)),0)</f>
        <v>0</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41" s="1921" customFormat="1" ht="18" customHeight="1">
      <c r="A4" s="420" t="s">
        <v>462</v>
      </c>
      <c r="B4" s="421">
        <f ca="1">ROUND(B2*10000/IF(B1="",'数据-汇总表'!D3,INDIRECT("'数据-取费表'!R"&amp;$K$1)),0)</f>
        <v>0</v>
      </c>
      <c r="C4" s="1941"/>
      <c r="D4" s="1983"/>
      <c r="E4" s="1983"/>
      <c r="F4" s="1983"/>
      <c r="G4" s="1983"/>
      <c r="H4" s="1983"/>
      <c r="I4" s="1983"/>
      <c r="J4" s="1983"/>
      <c r="K4" s="1983"/>
      <c r="L4" s="290"/>
      <c r="M4" s="290"/>
      <c r="N4" s="290"/>
      <c r="O4" s="290"/>
      <c r="P4" s="290"/>
      <c r="Q4" s="290"/>
      <c r="R4" s="290"/>
      <c r="S4" s="290"/>
      <c r="T4" s="290"/>
      <c r="U4" s="290"/>
      <c r="V4" s="290"/>
      <c r="W4" s="290"/>
      <c r="X4" s="290"/>
      <c r="Y4" s="290"/>
      <c r="Z4" s="290"/>
    </row>
    <row r="5" spans="1:41" s="1921" customFormat="1" ht="18" customHeight="1" thickBot="1">
      <c r="A5" s="423"/>
      <c r="B5" s="424">
        <f ca="1">ROUND(B2/(IF(B1="",'数据-汇总表'!D3,INDIRECT("'数据-取费表'!R"&amp;$K$1))/666.67),0)</f>
        <v>0</v>
      </c>
      <c r="C5" s="425" t="s">
        <v>463</v>
      </c>
      <c r="D5" s="1983"/>
      <c r="E5" s="1983"/>
      <c r="F5" s="1983"/>
      <c r="G5" s="1983"/>
      <c r="H5" s="1983"/>
      <c r="I5" s="1983"/>
      <c r="J5" s="1983"/>
      <c r="K5" s="1983"/>
      <c r="L5" s="290"/>
      <c r="M5" s="290"/>
      <c r="N5" s="290"/>
      <c r="O5" s="290"/>
      <c r="P5" s="290"/>
      <c r="Q5" s="290"/>
      <c r="R5" s="290"/>
      <c r="S5" s="290"/>
      <c r="T5" s="290"/>
      <c r="U5" s="290"/>
      <c r="V5" s="290"/>
      <c r="W5" s="290"/>
      <c r="X5" s="290"/>
      <c r="Y5" s="290"/>
      <c r="Z5" s="290"/>
    </row>
    <row r="6" spans="1:41" s="1990" customFormat="1" ht="16.5" customHeight="1">
      <c r="A6" s="426" t="s">
        <v>2629</v>
      </c>
      <c r="B6" s="427"/>
      <c r="C6" s="1548">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8" t="s">
        <v>464</v>
      </c>
      <c r="B7" s="429" t="s">
        <v>465</v>
      </c>
      <c r="C7" s="430"/>
      <c r="D7" s="430"/>
      <c r="E7" s="430"/>
      <c r="F7" s="430"/>
      <c r="G7" s="430"/>
      <c r="H7" s="430"/>
      <c r="I7" s="430"/>
      <c r="J7" s="430"/>
      <c r="K7" s="431"/>
      <c r="AA7" s="1991"/>
      <c r="AB7" s="1991"/>
      <c r="AC7" s="1991"/>
      <c r="AD7" s="1991"/>
      <c r="AE7" s="1991"/>
      <c r="AF7" s="1991"/>
      <c r="AG7" s="1991"/>
      <c r="AH7" s="1991"/>
      <c r="AI7" s="1991"/>
      <c r="AJ7" s="1991"/>
      <c r="AK7" s="1991"/>
      <c r="AL7" s="1991"/>
      <c r="AM7" s="1991"/>
      <c r="AN7" s="1991"/>
      <c r="AO7" s="1991"/>
    </row>
    <row r="8" spans="1:41" s="1994" customFormat="1" ht="13.5" customHeight="1">
      <c r="A8" s="1556" t="s">
        <v>1835</v>
      </c>
      <c r="B8" s="432" t="s">
        <v>466</v>
      </c>
      <c r="C8" s="433"/>
      <c r="D8" s="433"/>
      <c r="E8" s="433"/>
      <c r="F8" s="433"/>
      <c r="G8" s="433"/>
      <c r="H8" s="433"/>
      <c r="I8" s="433"/>
      <c r="J8" s="433"/>
      <c r="K8" s="434"/>
      <c r="AA8" s="1993"/>
      <c r="AB8" s="1993"/>
      <c r="AC8" s="1993"/>
      <c r="AD8" s="1993"/>
      <c r="AE8" s="1993"/>
      <c r="AF8" s="1993"/>
      <c r="AG8" s="1993"/>
      <c r="AH8" s="1993"/>
      <c r="AI8" s="1993"/>
      <c r="AJ8" s="1993"/>
      <c r="AK8" s="1993"/>
      <c r="AL8" s="1993"/>
      <c r="AM8" s="1993"/>
      <c r="AN8" s="1993"/>
      <c r="AO8" s="1993"/>
    </row>
    <row r="9" spans="1:41" s="1994" customFormat="1" ht="13.5" customHeight="1">
      <c r="A9" s="1556"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1837</v>
      </c>
      <c r="B10" s="1549" t="s">
        <v>468</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1854</v>
      </c>
      <c r="B11" s="1546"/>
      <c r="C11" s="1546"/>
      <c r="D11" s="1546"/>
      <c r="E11" s="1546"/>
      <c r="F11" s="1546"/>
      <c r="G11" s="1546"/>
      <c r="H11" s="1546"/>
      <c r="I11" s="1546"/>
      <c r="J11" s="1546"/>
      <c r="K11" s="1547"/>
      <c r="L11" s="3194"/>
      <c r="M11" s="3194"/>
      <c r="N11" s="3194"/>
      <c r="O11" s="3194"/>
      <c r="P11" s="3194"/>
      <c r="Q11" s="3194"/>
      <c r="R11" s="3194"/>
      <c r="S11" s="3194"/>
      <c r="T11" s="3194"/>
      <c r="U11" s="3194"/>
      <c r="V11" s="3194"/>
      <c r="W11" s="3194"/>
      <c r="X11" s="3194"/>
      <c r="Y11" s="3194"/>
      <c r="Z11" s="3194"/>
    </row>
    <row r="12" spans="1:41" s="1964"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5" customFormat="1" ht="13.5" customHeight="1">
      <c r="A13" s="1558" t="s">
        <v>1838</v>
      </c>
      <c r="B13" s="443" t="s">
        <v>473</v>
      </c>
      <c r="C13" s="444">
        <f ca="1">IF(B1="",'数据-取费表'!M16,INDIRECT("'数据-取费表'!M"&amp;$K$1)+INDIRECT("'数据-取费表'!t"&amp;$K$1))</f>
        <v>74659</v>
      </c>
      <c r="D13" s="445"/>
      <c r="E13" s="363"/>
      <c r="F13" s="446"/>
      <c r="G13" s="438"/>
      <c r="H13" s="441"/>
      <c r="I13" s="441"/>
      <c r="J13" s="441"/>
      <c r="K13" s="442"/>
      <c r="L13" s="1996"/>
      <c r="M13" s="1996"/>
      <c r="N13" s="1996"/>
      <c r="O13" s="1996"/>
      <c r="P13" s="1996"/>
      <c r="Q13" s="1996"/>
      <c r="R13" s="1996"/>
      <c r="S13" s="1996"/>
      <c r="T13" s="1996"/>
      <c r="U13" s="1996"/>
      <c r="V13" s="1996"/>
      <c r="W13" s="1996"/>
      <c r="X13" s="1996"/>
      <c r="Y13" s="1996"/>
      <c r="Z13" s="1996"/>
    </row>
    <row r="14" spans="1:41" s="1995" customFormat="1" ht="13.5" customHeight="1">
      <c r="A14" s="1558" t="s">
        <v>1839</v>
      </c>
      <c r="B14" s="443" t="s">
        <v>474</v>
      </c>
      <c r="C14" s="53">
        <f ca="1">ROUND(C13*F14,0)</f>
        <v>2240</v>
      </c>
      <c r="D14" s="445"/>
      <c r="E14" s="363"/>
      <c r="F14" s="447">
        <f>'数据-取费表'!B33</f>
        <v>0.03</v>
      </c>
      <c r="G14" s="438" t="s">
        <v>496</v>
      </c>
      <c r="H14" s="441"/>
      <c r="I14" s="441"/>
      <c r="J14" s="441"/>
      <c r="K14" s="442"/>
      <c r="L14" s="1996"/>
      <c r="M14" s="1996"/>
      <c r="N14" s="1996"/>
      <c r="O14" s="1996"/>
      <c r="P14" s="1996"/>
      <c r="Q14" s="1996"/>
      <c r="R14" s="1996"/>
      <c r="S14" s="1996"/>
      <c r="T14" s="1996"/>
      <c r="U14" s="1996"/>
      <c r="V14" s="1996"/>
      <c r="W14" s="1996"/>
      <c r="X14" s="1996"/>
      <c r="Y14" s="1996"/>
      <c r="Z14" s="1996"/>
    </row>
    <row r="15" spans="1:41" s="1995" customFormat="1" ht="13.5" customHeight="1">
      <c r="A15" s="1558" t="s">
        <v>1840</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1996"/>
      <c r="M15" s="1996"/>
      <c r="N15" s="1996"/>
      <c r="O15" s="1996"/>
      <c r="P15" s="1996"/>
      <c r="Q15" s="1996"/>
      <c r="R15" s="1996"/>
      <c r="S15" s="1996"/>
      <c r="T15" s="1996"/>
      <c r="U15" s="1996"/>
      <c r="V15" s="1996"/>
      <c r="W15" s="1996"/>
      <c r="X15" s="1996"/>
      <c r="Y15" s="1996"/>
      <c r="Z15" s="1996"/>
    </row>
    <row r="16" spans="1:41" s="1996" customFormat="1" ht="13.5" customHeight="1">
      <c r="A16" s="1558" t="s">
        <v>1841</v>
      </c>
      <c r="B16" s="443" t="s">
        <v>478</v>
      </c>
      <c r="C16" s="53">
        <f ca="1">ROUND(D16*E16/10000,0)</f>
        <v>3942</v>
      </c>
      <c r="D16" s="445">
        <f ca="1">IF(B1="",'数据-汇总表'!E3,INDIRECT("'数据-取费表'!K"&amp;$K$1)+INDIRECT("'数据-取费表'!S"&amp;$K$1))</f>
        <v>197089.87</v>
      </c>
      <c r="E16" s="53">
        <f>'数据-取费表'!B35</f>
        <v>200</v>
      </c>
      <c r="F16" s="447"/>
      <c r="G16" s="438"/>
      <c r="H16" s="441"/>
      <c r="I16" s="441"/>
      <c r="J16" s="441"/>
      <c r="K16" s="442"/>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1842</v>
      </c>
      <c r="B17" s="443" t="s">
        <v>479</v>
      </c>
      <c r="C17" s="448">
        <f ca="1">ROUND(C13*F17,0)</f>
        <v>1120</v>
      </c>
      <c r="D17" s="449"/>
      <c r="E17" s="448"/>
      <c r="F17" s="450">
        <f>'数据-取费表'!B36</f>
        <v>1.4999999999999999E-2</v>
      </c>
      <c r="G17" s="438" t="s">
        <v>496</v>
      </c>
      <c r="H17" s="451"/>
      <c r="I17" s="451"/>
      <c r="J17" s="451"/>
      <c r="K17" s="452"/>
      <c r="L17" s="1996"/>
      <c r="M17" s="1996"/>
      <c r="N17" s="1996"/>
      <c r="O17" s="1996"/>
      <c r="P17" s="1996"/>
      <c r="Q17" s="1996"/>
      <c r="R17" s="1996"/>
      <c r="S17" s="1996"/>
      <c r="T17" s="1996"/>
      <c r="U17" s="1996"/>
      <c r="V17" s="1996"/>
      <c r="W17" s="1996"/>
      <c r="X17" s="1996"/>
      <c r="Y17" s="1996"/>
      <c r="Z17" s="1996"/>
    </row>
    <row r="18" spans="1:26" s="1998" customFormat="1" ht="13.5" customHeight="1">
      <c r="A18" s="1559" t="s">
        <v>1843</v>
      </c>
      <c r="B18" s="453" t="s">
        <v>481</v>
      </c>
      <c r="C18" s="454">
        <f ca="1">SUM(C13:C17)</f>
        <v>81961</v>
      </c>
      <c r="D18" s="455"/>
      <c r="E18" s="456"/>
      <c r="F18" s="456"/>
      <c r="G18" s="1279" t="s">
        <v>2414</v>
      </c>
      <c r="H18" s="441"/>
      <c r="I18" s="441"/>
      <c r="J18" s="441"/>
      <c r="K18" s="442"/>
      <c r="L18" s="3197"/>
      <c r="M18" s="3197"/>
      <c r="N18" s="3197"/>
      <c r="O18" s="3197"/>
      <c r="P18" s="3197"/>
      <c r="Q18" s="3197"/>
      <c r="R18" s="3197"/>
      <c r="S18" s="3197"/>
      <c r="T18" s="3197"/>
      <c r="U18" s="3197"/>
      <c r="V18" s="3197"/>
      <c r="W18" s="3197"/>
      <c r="X18" s="3197"/>
      <c r="Y18" s="3197"/>
      <c r="Z18" s="3197"/>
    </row>
    <row r="19" spans="1:26" s="1998" customFormat="1" ht="13.5" customHeight="1">
      <c r="A19" s="1559" t="s">
        <v>1844</v>
      </c>
      <c r="B19" s="453" t="s">
        <v>487</v>
      </c>
      <c r="C19" s="454">
        <f ca="1">ROUND(C18*F19,0)</f>
        <v>1639</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1998" customFormat="1" ht="13.5" customHeight="1">
      <c r="A20" s="1559" t="s">
        <v>1845</v>
      </c>
      <c r="B20" s="453" t="s">
        <v>498</v>
      </c>
      <c r="C20" s="2740">
        <f>F20</f>
        <v>0.02</v>
      </c>
      <c r="D20" s="463" t="s">
        <v>499</v>
      </c>
      <c r="E20" s="463"/>
      <c r="F20" s="480">
        <f>'数据-取费表'!B38</f>
        <v>0.02</v>
      </c>
      <c r="G20" s="1279"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0" customFormat="1" ht="13.5" customHeight="1">
      <c r="A21" s="1559" t="s">
        <v>1848</v>
      </c>
      <c r="B21" s="455" t="s">
        <v>488</v>
      </c>
      <c r="C21" s="464">
        <f ca="1">C22</f>
        <v>5514</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1999" customFormat="1" ht="13.5" customHeight="1">
      <c r="A22" s="1558" t="s">
        <v>1838</v>
      </c>
      <c r="B22" s="1280" t="s">
        <v>2417</v>
      </c>
      <c r="C22" s="481">
        <f ca="1">ROUND(IF('数据-取费表'!B22&lt;=1,(C18+C19)*F21*'数据-取费表'!B20/2,(C18+C19)*(POWER((1+F21),'数据-取费表'!B20/2)-1)),0)</f>
        <v>5514</v>
      </c>
      <c r="D22" s="466"/>
      <c r="E22" s="467"/>
      <c r="F22" s="468"/>
      <c r="G22" s="2417"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1999" customFormat="1" ht="13.5" customHeight="1">
      <c r="A23" s="1558" t="s">
        <v>1839</v>
      </c>
      <c r="B23" s="1280" t="s">
        <v>502</v>
      </c>
      <c r="C23" s="482">
        <f ca="1">ROUND(IF('数据-取费表'!B22&lt;=1,F20*F21*'数据-取费表'!B20/2,F20*(POWER((1+F21),'数据-取费表'!B20/2)-1)),4)</f>
        <v>1.2999999999999999E-3</v>
      </c>
      <c r="D23" s="466"/>
      <c r="E23" s="467"/>
      <c r="F23" s="468"/>
      <c r="G23" s="2417"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1999" customFormat="1" ht="13.5" customHeight="1">
      <c r="A24" s="1559" t="s">
        <v>1849</v>
      </c>
      <c r="B24" s="2742" t="s">
        <v>2808</v>
      </c>
      <c r="C24" s="472">
        <f ca="1">C25</f>
        <v>15048</v>
      </c>
      <c r="D24" s="483">
        <f ca="1">C26</f>
        <v>3.5999999999999999E-3</v>
      </c>
      <c r="E24" s="463" t="s">
        <v>501</v>
      </c>
      <c r="F24" s="473">
        <f ca="1">IF(B1="",'数据-取费表'!Q16,INDIRECT("'数据-取费表'!q"&amp;$K$1))</f>
        <v>0.18</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1999" customFormat="1" ht="13.5" customHeight="1">
      <c r="A25" s="1558" t="s">
        <v>1838</v>
      </c>
      <c r="B25" s="1280" t="s">
        <v>2418</v>
      </c>
      <c r="C25" s="484">
        <f ca="1">ROUND((C18+C19)*F24,0)</f>
        <v>15048</v>
      </c>
      <c r="D25" s="466"/>
      <c r="E25" s="467"/>
      <c r="F25" s="474"/>
      <c r="G25" s="1278" t="s">
        <v>2415</v>
      </c>
      <c r="H25" s="451"/>
      <c r="I25" s="451"/>
      <c r="J25" s="451"/>
      <c r="K25" s="452"/>
      <c r="L25" s="3198"/>
      <c r="M25" s="3198"/>
      <c r="N25" s="3198"/>
      <c r="O25" s="3198"/>
      <c r="P25" s="3198"/>
      <c r="Q25" s="3198"/>
      <c r="R25" s="3198"/>
      <c r="S25" s="3198"/>
      <c r="T25" s="3198"/>
      <c r="U25" s="3198"/>
      <c r="V25" s="3198"/>
      <c r="W25" s="3198"/>
      <c r="X25" s="3198"/>
      <c r="Y25" s="3198"/>
      <c r="Z25" s="3198"/>
    </row>
    <row r="26" spans="1:26" s="1999" customFormat="1" ht="13.5" customHeight="1">
      <c r="A26" s="1558" t="s">
        <v>1839</v>
      </c>
      <c r="B26" s="1280" t="s">
        <v>503</v>
      </c>
      <c r="C26" s="485">
        <f ca="1">ROUND(F20*F24,4)</f>
        <v>3.5999999999999999E-3</v>
      </c>
      <c r="D26" s="466"/>
      <c r="E26" s="475"/>
      <c r="F26" s="474"/>
      <c r="G26" s="1278" t="s">
        <v>504</v>
      </c>
      <c r="H26" s="451"/>
      <c r="I26" s="451"/>
      <c r="J26" s="451"/>
      <c r="K26" s="452"/>
      <c r="L26" s="3198"/>
      <c r="M26" s="3198"/>
      <c r="N26" s="3198"/>
      <c r="O26" s="3198"/>
      <c r="P26" s="3198"/>
      <c r="Q26" s="3198"/>
      <c r="R26" s="3198"/>
      <c r="S26" s="3198"/>
      <c r="T26" s="3198"/>
      <c r="U26" s="3198"/>
      <c r="V26" s="3198"/>
      <c r="W26" s="3198"/>
      <c r="X26" s="3198"/>
      <c r="Y26" s="3198"/>
      <c r="Z26" s="3198"/>
    </row>
    <row r="27" spans="1:26" s="1999" customFormat="1" ht="13.5" customHeight="1">
      <c r="A27" s="1562" t="s">
        <v>1857</v>
      </c>
      <c r="B27" s="453" t="s">
        <v>505</v>
      </c>
      <c r="C27" s="2741">
        <f>ROUND(F27/(1+'数据-取费表'!C42),4)</f>
        <v>5.33E-2</v>
      </c>
      <c r="D27" s="456" t="s">
        <v>2806</v>
      </c>
      <c r="E27" s="456"/>
      <c r="F27" s="460">
        <f>'数据-取费表'!B41</f>
        <v>5.6000000000000001E-2</v>
      </c>
      <c r="G27" s="1871" t="s">
        <v>2277</v>
      </c>
      <c r="H27" s="441"/>
      <c r="I27" s="441"/>
      <c r="J27" s="441"/>
      <c r="K27" s="442"/>
      <c r="L27" s="3198"/>
      <c r="M27" s="3198"/>
      <c r="N27" s="3198"/>
      <c r="O27" s="3198"/>
      <c r="P27" s="3198"/>
      <c r="Q27" s="3198"/>
      <c r="R27" s="3198"/>
      <c r="S27" s="3198"/>
      <c r="T27" s="3198"/>
      <c r="U27" s="3198"/>
      <c r="V27" s="3198"/>
      <c r="W27" s="3198"/>
      <c r="X27" s="3198"/>
      <c r="Y27" s="3198"/>
      <c r="Z27" s="3198"/>
    </row>
    <row r="28" spans="1:26" s="2000" customFormat="1" ht="13.5" customHeight="1">
      <c r="A28" s="1562" t="s">
        <v>1858</v>
      </c>
      <c r="B28" s="470" t="s">
        <v>506</v>
      </c>
      <c r="C28" s="464">
        <f ca="1">ROUND((C18+C19+C21+C24)/(1-C20-D21-D24-C27),0)</f>
        <v>112998</v>
      </c>
      <c r="D28" s="471"/>
      <c r="E28" s="463"/>
      <c r="F28" s="465"/>
      <c r="G28" s="1279"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0" customFormat="1" ht="13.5" customHeight="1">
      <c r="A29" s="1562"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0" customFormat="1" ht="13.5" customHeight="1">
      <c r="A30" s="437">
        <v>2</v>
      </c>
      <c r="B30" s="470" t="s">
        <v>508</v>
      </c>
      <c r="C30" s="491">
        <f ca="1">ROUND(C28*C29,0)</f>
        <v>0</v>
      </c>
      <c r="D30" s="487"/>
      <c r="E30" s="492"/>
      <c r="F30" s="493"/>
      <c r="G30" s="1281"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5" customFormat="1" ht="13.5" customHeight="1">
      <c r="A31" s="2332" t="s">
        <v>1855</v>
      </c>
      <c r="B31" s="1282"/>
      <c r="C31" s="494">
        <f>ROUND(C6*F31/(1+'数据-取费表'!C42),0)</f>
        <v>0</v>
      </c>
      <c r="D31" s="1283"/>
      <c r="E31" s="1283"/>
      <c r="F31" s="495">
        <f>'数据-取费表'!B41</f>
        <v>5.6000000000000001E-2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3" t="s">
        <v>2930</v>
      </c>
      <c r="H32" s="477"/>
      <c r="I32" s="477"/>
      <c r="J32" s="477"/>
      <c r="K32" s="479"/>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8" zoomScale="80" zoomScaleNormal="95" zoomScaleSheetLayoutView="80" workbookViewId="0">
      <selection activeCell="E17" sqref="E1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7" t="s">
        <v>461</v>
      </c>
      <c r="B2" s="502">
        <f>F68</f>
        <v>114530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7" t="s">
        <v>1674</v>
      </c>
      <c r="B3" s="504">
        <f>ROUND(B2*10000/'数据-汇总表'!E3,0)</f>
        <v>5811</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5" t="s">
        <v>514</v>
      </c>
      <c r="B4" s="421">
        <f>IF(B48="单位面积地价",C50,ROUND(B2*10000/'数据-汇总表'!D3,0))</f>
        <v>58844</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3"/>
      <c r="B5" s="424">
        <f>ROUND(B2/('数据-汇总表'!D3/666.67),0)</f>
        <v>3923</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6" t="s">
        <v>515</v>
      </c>
      <c r="B6" s="507"/>
      <c r="C6" s="3664" t="s">
        <v>516</v>
      </c>
      <c r="D6" s="3665"/>
      <c r="E6" s="3664" t="s">
        <v>517</v>
      </c>
      <c r="F6" s="3665"/>
      <c r="G6" s="3664" t="s">
        <v>518</v>
      </c>
      <c r="H6" s="3665"/>
      <c r="I6" s="3664" t="s">
        <v>519</v>
      </c>
      <c r="J6" s="3665"/>
      <c r="K6" s="508" t="s">
        <v>520</v>
      </c>
      <c r="L6" s="2012"/>
      <c r="M6" s="2011"/>
      <c r="N6" s="2011"/>
      <c r="O6" s="2013"/>
      <c r="P6" s="3666" t="s">
        <v>521</v>
      </c>
      <c r="Q6" s="3667"/>
      <c r="R6" s="3672" t="s">
        <v>517</v>
      </c>
      <c r="S6" s="3673"/>
      <c r="T6" s="3672" t="s">
        <v>518</v>
      </c>
      <c r="U6" s="3673"/>
      <c r="V6" s="3659" t="s">
        <v>519</v>
      </c>
      <c r="W6" s="3659"/>
      <c r="X6" s="1498"/>
      <c r="Y6" s="3672" t="s">
        <v>521</v>
      </c>
      <c r="Z6" s="3673"/>
      <c r="AA6" s="3661" t="s">
        <v>517</v>
      </c>
      <c r="AB6" s="3662" t="s">
        <v>518</v>
      </c>
      <c r="AC6" s="3661" t="s">
        <v>519</v>
      </c>
    </row>
    <row r="7" spans="1:30" ht="39.75" customHeight="1">
      <c r="A7" s="509"/>
      <c r="B7" s="510"/>
      <c r="C7" s="3680" t="s">
        <v>2890</v>
      </c>
      <c r="D7" s="3681"/>
      <c r="E7" s="3680" t="str">
        <f>土地案例!A4</f>
        <v>武昌区徐东大街与中北路交叉处西南角</v>
      </c>
      <c r="F7" s="3681"/>
      <c r="G7" s="3680" t="str">
        <f>土地案例!A7</f>
        <v>武昌区中北路与兴国南路交汇处</v>
      </c>
      <c r="H7" s="3681"/>
      <c r="I7" s="3680" t="str">
        <f>土地案例!A8</f>
        <v>武昌区中北路与秦园东路交汇处北侧</v>
      </c>
      <c r="J7" s="3681"/>
      <c r="K7" s="508"/>
      <c r="L7" s="2012"/>
      <c r="M7" s="2011"/>
      <c r="N7" s="2011"/>
      <c r="O7" s="2013"/>
      <c r="P7" s="3668"/>
      <c r="Q7" s="3669"/>
      <c r="R7" s="3674"/>
      <c r="S7" s="3675"/>
      <c r="T7" s="3674"/>
      <c r="U7" s="3675"/>
      <c r="V7" s="3659"/>
      <c r="W7" s="3659"/>
      <c r="X7" s="1498"/>
      <c r="Y7" s="3674"/>
      <c r="Z7" s="3675"/>
      <c r="AA7" s="3662"/>
      <c r="AB7" s="3662"/>
      <c r="AC7" s="3662"/>
    </row>
    <row r="8" spans="1:30" ht="21" thickBot="1">
      <c r="A8" s="509"/>
      <c r="B8" s="510"/>
      <c r="C8" s="3682" t="s">
        <v>2894</v>
      </c>
      <c r="D8" s="3683"/>
      <c r="E8" s="3682" t="str">
        <f>土地案例!E4</f>
        <v>P(2020)050号</v>
      </c>
      <c r="F8" s="3683"/>
      <c r="G8" s="3678" t="str">
        <f>土地案例!E7</f>
        <v>P(2019)152号</v>
      </c>
      <c r="H8" s="3679"/>
      <c r="I8" s="3678" t="str">
        <f>土地案例!E8</f>
        <v>P(2019)134号</v>
      </c>
      <c r="J8" s="3679"/>
      <c r="K8" s="508" t="s">
        <v>522</v>
      </c>
      <c r="L8" s="2012"/>
      <c r="M8" s="2011"/>
      <c r="N8" s="2011"/>
      <c r="O8" s="2013"/>
      <c r="P8" s="3670"/>
      <c r="Q8" s="3671"/>
      <c r="R8" s="3674"/>
      <c r="S8" s="3675"/>
      <c r="T8" s="3676"/>
      <c r="U8" s="3677"/>
      <c r="V8" s="3659"/>
      <c r="W8" s="3659"/>
      <c r="X8" s="1498"/>
      <c r="Y8" s="3676"/>
      <c r="Z8" s="3677"/>
      <c r="AA8" s="3663"/>
      <c r="AB8" s="3663"/>
      <c r="AC8" s="3663"/>
    </row>
    <row r="9" spans="1:30" s="1201" customFormat="1" ht="21" thickBot="1">
      <c r="A9" s="2626"/>
      <c r="B9" s="2633" t="s">
        <v>523</v>
      </c>
      <c r="C9" s="2625">
        <f>'数据-取费表'!B2</f>
        <v>44377</v>
      </c>
      <c r="D9" s="514">
        <v>100</v>
      </c>
      <c r="E9" s="515" t="str">
        <f>土地案例!K4</f>
        <v>2020-06-30</v>
      </c>
      <c r="F9" s="516">
        <f>SUMIF(72:72,YEAR(E9)&amp;"-"&amp;INT((MONTH(E9)+2)/3),73:73)</f>
        <v>98</v>
      </c>
      <c r="G9" s="517" t="str">
        <f>土地案例!K7</f>
        <v>2019-11-27</v>
      </c>
      <c r="H9" s="514">
        <f>SUMIF(72:72,YEAR(G9)&amp;"-"&amp;INT((MONTH(G9)+2)/3),73:73)</f>
        <v>97</v>
      </c>
      <c r="I9" s="517" t="str">
        <f>土地案例!K8</f>
        <v>2019-10-22</v>
      </c>
      <c r="J9" s="514">
        <f>SUMIF(72:72,YEAR(I9)&amp;"-"&amp;INT((MONTH(I9)+2)/3),73:73)</f>
        <v>97</v>
      </c>
      <c r="K9" s="518"/>
      <c r="L9" s="2014"/>
      <c r="M9" s="2011"/>
      <c r="N9" s="2011"/>
      <c r="O9" s="2015"/>
      <c r="P9" s="3689" t="s">
        <v>524</v>
      </c>
      <c r="Q9" s="3691"/>
      <c r="R9" s="1499" t="s">
        <v>8</v>
      </c>
      <c r="S9" s="1500">
        <f t="shared" ref="S9:S17" si="0">F9</f>
        <v>98</v>
      </c>
      <c r="T9" s="1499" t="s">
        <v>8</v>
      </c>
      <c r="U9" s="1500">
        <f t="shared" ref="U9:U17" si="1">H9</f>
        <v>97</v>
      </c>
      <c r="V9" s="1499" t="s">
        <v>8</v>
      </c>
      <c r="W9" s="1500">
        <f t="shared" ref="W9:W17" si="2">J9</f>
        <v>97</v>
      </c>
      <c r="X9" s="1501"/>
      <c r="Y9" s="3689" t="s">
        <v>524</v>
      </c>
      <c r="Z9" s="3690"/>
      <c r="AA9" s="1502">
        <f>D9/F9</f>
        <v>1.0204081632653061</v>
      </c>
      <c r="AB9" s="1502">
        <f>D9/H9</f>
        <v>1.0309278350515463</v>
      </c>
      <c r="AC9" s="1502">
        <f>D9/J9</f>
        <v>1.0309278350515463</v>
      </c>
    </row>
    <row r="10" spans="1:30" s="1201" customFormat="1" ht="21" thickBot="1">
      <c r="A10" s="2627"/>
      <c r="B10" s="2634"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4"/>
      <c r="M10" s="2011"/>
      <c r="N10" s="2011"/>
      <c r="O10" s="2015"/>
      <c r="P10" s="3689" t="s">
        <v>527</v>
      </c>
      <c r="Q10" s="3690"/>
      <c r="R10" s="1499" t="s">
        <v>8</v>
      </c>
      <c r="S10" s="1500">
        <f t="shared" si="0"/>
        <v>100</v>
      </c>
      <c r="T10" s="1499" t="s">
        <v>8</v>
      </c>
      <c r="U10" s="1500">
        <f t="shared" si="1"/>
        <v>100</v>
      </c>
      <c r="V10" s="1499" t="s">
        <v>8</v>
      </c>
      <c r="W10" s="1500">
        <f t="shared" si="2"/>
        <v>100</v>
      </c>
      <c r="X10" s="1501"/>
      <c r="Y10" s="3689" t="s">
        <v>527</v>
      </c>
      <c r="Z10" s="3690"/>
      <c r="AA10" s="1502">
        <f t="shared" ref="AA10:AA47" si="3">D10/F10</f>
        <v>1</v>
      </c>
      <c r="AB10" s="1502">
        <f t="shared" ref="AB10:AB47" si="4">D10/H10</f>
        <v>1</v>
      </c>
      <c r="AC10" s="1502">
        <f t="shared" ref="AC10:AC47" si="5">D10/J10</f>
        <v>1</v>
      </c>
    </row>
    <row r="11" spans="1:30" s="1201" customFormat="1" ht="20.25">
      <c r="A11" s="2628"/>
      <c r="B11" s="2635" t="s">
        <v>2733</v>
      </c>
      <c r="C11" s="2622" t="s">
        <v>3060</v>
      </c>
      <c r="D11" s="252">
        <v>100</v>
      </c>
      <c r="E11" s="2622" t="s">
        <v>3060</v>
      </c>
      <c r="F11" s="252">
        <f>SUMIF(77:77,E11,78:78)-SUMIF(77:77,C11,78:78)+100</f>
        <v>100</v>
      </c>
      <c r="G11" s="2622" t="s">
        <v>3060</v>
      </c>
      <c r="H11" s="252">
        <f>SUMIF(77:77,G11,78:78)-SUMIF(77:77,C11,78:78)+100</f>
        <v>100</v>
      </c>
      <c r="I11" s="2622" t="s">
        <v>3060</v>
      </c>
      <c r="J11" s="252">
        <f>SUMIF(77:77,I11,78:78)-SUMIF(77:77,C11,78:78)+100</f>
        <v>100</v>
      </c>
      <c r="K11" s="518"/>
      <c r="L11" s="2014"/>
      <c r="M11" s="2011"/>
      <c r="N11" s="2011"/>
      <c r="O11" s="2016"/>
      <c r="P11" s="3658" t="s">
        <v>529</v>
      </c>
      <c r="Q11" s="1132" t="str">
        <f t="shared" ref="Q11:Q17" si="6">B11</f>
        <v>用途</v>
      </c>
      <c r="R11" s="1499" t="s">
        <v>8</v>
      </c>
      <c r="S11" s="1500">
        <f t="shared" si="0"/>
        <v>100</v>
      </c>
      <c r="T11" s="1499" t="s">
        <v>8</v>
      </c>
      <c r="U11" s="1500">
        <f t="shared" si="1"/>
        <v>100</v>
      </c>
      <c r="V11" s="1499" t="s">
        <v>8</v>
      </c>
      <c r="W11" s="1500">
        <f t="shared" si="2"/>
        <v>100</v>
      </c>
      <c r="X11" s="1501"/>
      <c r="Y11" s="3604" t="s">
        <v>530</v>
      </c>
      <c r="Z11" s="1131" t="str">
        <f t="shared" ref="Z11:Z17" si="7">Q11</f>
        <v>用途</v>
      </c>
      <c r="AA11" s="1502">
        <f t="shared" si="3"/>
        <v>1</v>
      </c>
      <c r="AB11" s="1502">
        <f t="shared" si="4"/>
        <v>1</v>
      </c>
      <c r="AC11" s="1502">
        <f t="shared" si="5"/>
        <v>1</v>
      </c>
    </row>
    <row r="12" spans="1:30" s="1290" customFormat="1" ht="27">
      <c r="A12" s="2629"/>
      <c r="B12" s="2634" t="s">
        <v>2734</v>
      </c>
      <c r="C12" s="898"/>
      <c r="D12" s="253">
        <v>100</v>
      </c>
      <c r="E12" s="523"/>
      <c r="F12" s="253">
        <f>ROUND(100/'数据-取费表'!G16,0)</f>
        <v>104</v>
      </c>
      <c r="G12" s="524"/>
      <c r="H12" s="253">
        <f>ROUND(100/'数据-取费表'!G16,0)</f>
        <v>104</v>
      </c>
      <c r="I12" s="524"/>
      <c r="J12" s="253">
        <f>ROUND(100/'数据-取费表'!G16,0)</f>
        <v>104</v>
      </c>
      <c r="K12" s="525"/>
      <c r="L12" s="2017"/>
      <c r="M12" s="2011"/>
      <c r="N12" s="2011"/>
      <c r="O12" s="2018"/>
      <c r="P12" s="3658"/>
      <c r="Q12" s="1132" t="str">
        <f t="shared" si="6"/>
        <v>土地使用年限（年）</v>
      </c>
      <c r="R12" s="1499" t="s">
        <v>8</v>
      </c>
      <c r="S12" s="1500">
        <f t="shared" si="0"/>
        <v>104</v>
      </c>
      <c r="T12" s="1499" t="s">
        <v>8</v>
      </c>
      <c r="U12" s="1500">
        <f t="shared" si="1"/>
        <v>104</v>
      </c>
      <c r="V12" s="1499" t="s">
        <v>8</v>
      </c>
      <c r="W12" s="1500">
        <f t="shared" si="2"/>
        <v>104</v>
      </c>
      <c r="X12" s="1501"/>
      <c r="Y12" s="3604"/>
      <c r="Z12" s="1131" t="str">
        <f t="shared" si="7"/>
        <v>土地使用年限（年）</v>
      </c>
      <c r="AA12" s="1502">
        <f t="shared" si="3"/>
        <v>0.96153846153846156</v>
      </c>
      <c r="AB12" s="1502">
        <f t="shared" si="4"/>
        <v>0.96153846153846156</v>
      </c>
      <c r="AC12" s="1502">
        <f t="shared" si="5"/>
        <v>0.96153846153846156</v>
      </c>
    </row>
    <row r="13" spans="1:30" ht="20.25">
      <c r="A13" s="2630"/>
      <c r="B13" s="2634" t="s">
        <v>2735</v>
      </c>
      <c r="C13" s="528">
        <v>7.37</v>
      </c>
      <c r="D13" s="253">
        <v>100</v>
      </c>
      <c r="E13" s="527">
        <v>3.3</v>
      </c>
      <c r="F13" s="253">
        <f>LOOKUP(E13,82:82,83:83)-LOOKUP(C13,82:82,83:83)+100</f>
        <v>106</v>
      </c>
      <c r="G13" s="528">
        <v>3.24</v>
      </c>
      <c r="H13" s="253">
        <f>LOOKUP(G13,82:82,83:83)-LOOKUP(C13,82:82,83:83)+100</f>
        <v>106</v>
      </c>
      <c r="I13" s="527">
        <v>5.52</v>
      </c>
      <c r="J13" s="253">
        <f>LOOKUP(I13,82:82,83:83)-LOOKUP(C13,82:82,83:83)+100</f>
        <v>103</v>
      </c>
      <c r="K13" s="529">
        <v>3</v>
      </c>
      <c r="L13" s="2019"/>
      <c r="M13" s="2011"/>
      <c r="N13" s="2011"/>
      <c r="O13" s="2020"/>
      <c r="P13" s="3658"/>
      <c r="Q13" s="1132" t="str">
        <f t="shared" si="6"/>
        <v>容积率</v>
      </c>
      <c r="R13" s="1499" t="s">
        <v>8</v>
      </c>
      <c r="S13" s="1500">
        <f t="shared" si="0"/>
        <v>106</v>
      </c>
      <c r="T13" s="1499" t="s">
        <v>8</v>
      </c>
      <c r="U13" s="1500">
        <f t="shared" si="1"/>
        <v>106</v>
      </c>
      <c r="V13" s="1499" t="s">
        <v>8</v>
      </c>
      <c r="W13" s="1500">
        <f t="shared" si="2"/>
        <v>103</v>
      </c>
      <c r="X13" s="1501"/>
      <c r="Y13" s="3604"/>
      <c r="Z13" s="1131" t="str">
        <f t="shared" si="7"/>
        <v>容积率</v>
      </c>
      <c r="AA13" s="1502">
        <f t="shared" si="3"/>
        <v>0.94339622641509435</v>
      </c>
      <c r="AB13" s="1502">
        <f t="shared" si="4"/>
        <v>0.94339622641509435</v>
      </c>
      <c r="AC13" s="1502">
        <f t="shared" si="5"/>
        <v>0.970873786407767</v>
      </c>
    </row>
    <row r="14" spans="1:30" s="1201" customFormat="1" ht="20.25">
      <c r="A14" s="2627"/>
      <c r="B14" s="2636" t="s">
        <v>2736</v>
      </c>
      <c r="C14" s="2623"/>
      <c r="D14" s="532">
        <v>100</v>
      </c>
      <c r="E14" s="1323"/>
      <c r="F14" s="253">
        <f>SUMIF(84:84,E14,85:85)-SUMIF(84:84,C14,85:85)+100</f>
        <v>100</v>
      </c>
      <c r="G14" s="524"/>
      <c r="H14" s="253">
        <f>SUMIF(84:84,G14,85:85)-SUMIF(84:84,C14,85:85)+100</f>
        <v>100</v>
      </c>
      <c r="I14" s="523"/>
      <c r="J14" s="253">
        <f>SUMIF(84:84,I14,85:85)-SUMIF(84:84,C14,85:85)+100</f>
        <v>100</v>
      </c>
      <c r="K14" s="525"/>
      <c r="L14" s="2014"/>
      <c r="M14" s="2011"/>
      <c r="N14" s="2011"/>
      <c r="O14" s="2016"/>
      <c r="P14" s="3658"/>
      <c r="Q14" s="1132" t="str">
        <f t="shared" si="6"/>
        <v>配建</v>
      </c>
      <c r="R14" s="1499" t="s">
        <v>8</v>
      </c>
      <c r="S14" s="1500">
        <f t="shared" si="0"/>
        <v>100</v>
      </c>
      <c r="T14" s="1499" t="s">
        <v>8</v>
      </c>
      <c r="U14" s="1500">
        <f t="shared" si="1"/>
        <v>100</v>
      </c>
      <c r="V14" s="1499" t="s">
        <v>8</v>
      </c>
      <c r="W14" s="1500">
        <f t="shared" si="2"/>
        <v>100</v>
      </c>
      <c r="X14" s="1501"/>
      <c r="Y14" s="3604"/>
      <c r="Z14" s="1131" t="str">
        <f t="shared" si="7"/>
        <v>配建</v>
      </c>
      <c r="AA14" s="1502">
        <f>D14/F14</f>
        <v>1</v>
      </c>
      <c r="AB14" s="1502">
        <f>D14/H14</f>
        <v>1</v>
      </c>
      <c r="AC14" s="1502">
        <f>D14/J14</f>
        <v>1</v>
      </c>
    </row>
    <row r="15" spans="1:30" ht="20.25">
      <c r="A15" s="2631"/>
      <c r="B15" s="3796" t="s">
        <v>3543</v>
      </c>
      <c r="C15" s="900"/>
      <c r="D15" s="534">
        <v>100</v>
      </c>
      <c r="E15" s="535"/>
      <c r="F15" s="253">
        <f>SUMIF(86:86,E15,87:87)-SUMIF(86:86,C15,87:87)+100</f>
        <v>100</v>
      </c>
      <c r="G15" s="536"/>
      <c r="H15" s="534">
        <f>SUMIF(86:86,G15,87:87)-SUMIF(86:86,C15,87:87)+100</f>
        <v>100</v>
      </c>
      <c r="I15" s="536"/>
      <c r="J15" s="534">
        <f>SUMIF(86:86,I15,87:87)-SUMIF(86:86,C15,87:87)+100</f>
        <v>100</v>
      </c>
      <c r="K15" s="525"/>
      <c r="L15" s="2021"/>
      <c r="M15" s="2011"/>
      <c r="N15" s="2011"/>
      <c r="O15" s="2020"/>
      <c r="P15" s="3658"/>
      <c r="Q15" s="1132" t="str">
        <f t="shared" si="6"/>
        <v>自持</v>
      </c>
      <c r="R15" s="1499" t="s">
        <v>8</v>
      </c>
      <c r="S15" s="1500">
        <f t="shared" si="0"/>
        <v>100</v>
      </c>
      <c r="T15" s="1499" t="s">
        <v>8</v>
      </c>
      <c r="U15" s="1500">
        <f t="shared" si="1"/>
        <v>100</v>
      </c>
      <c r="V15" s="1499" t="s">
        <v>8</v>
      </c>
      <c r="W15" s="1500">
        <f t="shared" si="2"/>
        <v>100</v>
      </c>
      <c r="X15" s="1501"/>
      <c r="Y15" s="3604"/>
      <c r="Z15" s="1131" t="str">
        <f t="shared" si="7"/>
        <v>自持</v>
      </c>
      <c r="AA15" s="1502">
        <f>D15/F15</f>
        <v>1</v>
      </c>
      <c r="AB15" s="1502">
        <f>D15/H15</f>
        <v>1</v>
      </c>
      <c r="AC15" s="1502">
        <f>D15/J15</f>
        <v>1</v>
      </c>
    </row>
    <row r="16" spans="1:30" ht="21" thickBot="1">
      <c r="A16" s="2632"/>
      <c r="B16" s="2638">
        <v>111</v>
      </c>
      <c r="C16" s="903"/>
      <c r="D16" s="540">
        <v>100</v>
      </c>
      <c r="E16" s="535"/>
      <c r="F16" s="540">
        <f>SUMIF(88:88,E16,89:89)-SUMIF(88:88,C16,89:89)+100</f>
        <v>100</v>
      </c>
      <c r="G16" s="536"/>
      <c r="H16" s="540">
        <f>SUMIF(88:88,G16,89:89)-SUMIF(88:88,C16,89:89)+100</f>
        <v>100</v>
      </c>
      <c r="I16" s="536"/>
      <c r="J16" s="540">
        <f>SUMIF(88:88,I16,89:89)-SUMIF(88:88,C16,89:89)+100</f>
        <v>100</v>
      </c>
      <c r="K16" s="525"/>
      <c r="L16" s="2021"/>
      <c r="M16" s="2011"/>
      <c r="N16" s="2011"/>
      <c r="O16" s="2020"/>
      <c r="P16" s="3658"/>
      <c r="Q16" s="1132">
        <f t="shared" si="6"/>
        <v>111</v>
      </c>
      <c r="R16" s="1499" t="s">
        <v>8</v>
      </c>
      <c r="S16" s="1500">
        <f t="shared" si="0"/>
        <v>100</v>
      </c>
      <c r="T16" s="1499" t="s">
        <v>8</v>
      </c>
      <c r="U16" s="1500">
        <f t="shared" si="1"/>
        <v>100</v>
      </c>
      <c r="V16" s="1499" t="s">
        <v>8</v>
      </c>
      <c r="W16" s="1500">
        <f t="shared" si="2"/>
        <v>100</v>
      </c>
      <c r="X16" s="1501"/>
      <c r="Y16" s="3604"/>
      <c r="Z16" s="1131">
        <f t="shared" si="7"/>
        <v>111</v>
      </c>
      <c r="AA16" s="1502">
        <f>D16/F16</f>
        <v>1</v>
      </c>
      <c r="AB16" s="1502">
        <f>D16/H16</f>
        <v>1</v>
      </c>
      <c r="AC16" s="1502">
        <f>D16/J16</f>
        <v>1</v>
      </c>
    </row>
    <row r="17" spans="1:29" ht="99.75">
      <c r="A17" s="2624" t="s">
        <v>2731</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1"/>
      <c r="M17" s="2011"/>
      <c r="N17" s="2011"/>
      <c r="O17" s="2020"/>
      <c r="P17" s="3692" t="s">
        <v>534</v>
      </c>
      <c r="Q17" s="1503" t="str">
        <f t="shared" si="6"/>
        <v>居住社区成熟度</v>
      </c>
      <c r="R17" s="1504" t="s">
        <v>8</v>
      </c>
      <c r="S17" s="1505">
        <f t="shared" si="0"/>
        <v>100</v>
      </c>
      <c r="T17" s="1504" t="s">
        <v>8</v>
      </c>
      <c r="U17" s="1505">
        <f t="shared" si="1"/>
        <v>100</v>
      </c>
      <c r="V17" s="1504" t="s">
        <v>8</v>
      </c>
      <c r="W17" s="1505">
        <f t="shared" si="2"/>
        <v>100</v>
      </c>
      <c r="X17" s="1498"/>
      <c r="Y17" s="3692" t="s">
        <v>534</v>
      </c>
      <c r="Z17" s="1506" t="str">
        <f t="shared" si="7"/>
        <v>居住社区成熟度</v>
      </c>
      <c r="AA17" s="1507">
        <f t="shared" si="3"/>
        <v>1</v>
      </c>
      <c r="AB17" s="1507">
        <f t="shared" si="4"/>
        <v>1</v>
      </c>
      <c r="AC17" s="1507">
        <f t="shared" si="5"/>
        <v>1</v>
      </c>
    </row>
    <row r="18" spans="1:29" ht="20.25">
      <c r="A18" s="526"/>
      <c r="B18" s="547"/>
      <c r="C18" s="548"/>
      <c r="D18" s="551"/>
      <c r="E18" s="552"/>
      <c r="F18" s="549"/>
      <c r="G18" s="550"/>
      <c r="H18" s="553"/>
      <c r="I18" s="552"/>
      <c r="J18" s="549"/>
      <c r="K18" s="525"/>
      <c r="L18" s="2021"/>
      <c r="M18" s="2011"/>
      <c r="N18" s="2011"/>
      <c r="O18" s="2020"/>
      <c r="P18" s="3693"/>
      <c r="Q18" s="1503"/>
      <c r="R18" s="1504"/>
      <c r="S18" s="1505"/>
      <c r="T18" s="1504"/>
      <c r="U18" s="1505"/>
      <c r="V18" s="1504"/>
      <c r="W18" s="1505"/>
      <c r="X18" s="1498"/>
      <c r="Y18" s="3693"/>
      <c r="Z18" s="1506"/>
      <c r="AA18" s="1507">
        <v>1</v>
      </c>
      <c r="AB18" s="1507">
        <v>1</v>
      </c>
      <c r="AC18" s="150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1"/>
      <c r="M19" s="2011"/>
      <c r="N19" s="2011"/>
      <c r="O19" s="2020"/>
      <c r="P19" s="3693"/>
      <c r="Q19" s="1503" t="str">
        <f>B19</f>
        <v>商业繁华度</v>
      </c>
      <c r="R19" s="1504" t="s">
        <v>8</v>
      </c>
      <c r="S19" s="1505">
        <f>F19</f>
        <v>100</v>
      </c>
      <c r="T19" s="1504" t="s">
        <v>8</v>
      </c>
      <c r="U19" s="1505">
        <f>H19</f>
        <v>100</v>
      </c>
      <c r="V19" s="1504" t="s">
        <v>8</v>
      </c>
      <c r="W19" s="1505">
        <f>J19</f>
        <v>100</v>
      </c>
      <c r="X19" s="1498"/>
      <c r="Y19" s="3693"/>
      <c r="Z19" s="1506" t="str">
        <f>Q19</f>
        <v>商业繁华度</v>
      </c>
      <c r="AA19" s="1507">
        <f t="shared" si="3"/>
        <v>1</v>
      </c>
      <c r="AB19" s="1507">
        <f t="shared" si="4"/>
        <v>1</v>
      </c>
      <c r="AC19" s="1507">
        <f t="shared" si="5"/>
        <v>1</v>
      </c>
    </row>
    <row r="20" spans="1:29" ht="20.25">
      <c r="A20" s="526"/>
      <c r="B20" s="560"/>
      <c r="C20" s="561" t="s">
        <v>3074</v>
      </c>
      <c r="D20" s="557"/>
      <c r="E20" s="561" t="s">
        <v>3074</v>
      </c>
      <c r="F20" s="553"/>
      <c r="G20" s="561" t="s">
        <v>3074</v>
      </c>
      <c r="H20" s="549"/>
      <c r="I20" s="561" t="s">
        <v>3074</v>
      </c>
      <c r="J20" s="549"/>
      <c r="K20" s="525"/>
      <c r="L20" s="2021"/>
      <c r="M20" s="2011"/>
      <c r="N20" s="2011"/>
      <c r="O20" s="2020"/>
      <c r="P20" s="3693"/>
      <c r="Q20" s="1503"/>
      <c r="R20" s="1504"/>
      <c r="S20" s="1505"/>
      <c r="T20" s="1504"/>
      <c r="U20" s="1505"/>
      <c r="V20" s="1504"/>
      <c r="W20" s="1505"/>
      <c r="X20" s="1498"/>
      <c r="Y20" s="3693"/>
      <c r="Z20" s="1506"/>
      <c r="AA20" s="1507">
        <v>1</v>
      </c>
      <c r="AB20" s="1507">
        <v>1</v>
      </c>
      <c r="AC20" s="150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1"/>
      <c r="M21" s="2011"/>
      <c r="N21" s="2011"/>
      <c r="O21" s="2020"/>
      <c r="P21" s="3693"/>
      <c r="Q21" s="1503" t="str">
        <f>B21</f>
        <v>办公集聚程度</v>
      </c>
      <c r="R21" s="1504" t="s">
        <v>8</v>
      </c>
      <c r="S21" s="1505">
        <f>F21</f>
        <v>100</v>
      </c>
      <c r="T21" s="1504" t="s">
        <v>8</v>
      </c>
      <c r="U21" s="1505">
        <f>H21</f>
        <v>100</v>
      </c>
      <c r="V21" s="1504" t="s">
        <v>8</v>
      </c>
      <c r="W21" s="1505">
        <f>J21</f>
        <v>100</v>
      </c>
      <c r="X21" s="1498"/>
      <c r="Y21" s="3693"/>
      <c r="Z21" s="1506" t="str">
        <f>Q21</f>
        <v>办公集聚程度</v>
      </c>
      <c r="AA21" s="1507">
        <f t="shared" si="3"/>
        <v>1</v>
      </c>
      <c r="AB21" s="1507">
        <f t="shared" si="4"/>
        <v>1</v>
      </c>
      <c r="AC21" s="1507">
        <f t="shared" si="5"/>
        <v>1</v>
      </c>
    </row>
    <row r="22" spans="1:29" ht="20.25">
      <c r="A22" s="526"/>
      <c r="B22" s="560"/>
      <c r="C22" s="548" t="s">
        <v>3074</v>
      </c>
      <c r="D22" s="551"/>
      <c r="E22" s="548" t="s">
        <v>3074</v>
      </c>
      <c r="F22" s="549"/>
      <c r="G22" s="548" t="s">
        <v>3074</v>
      </c>
      <c r="H22" s="549"/>
      <c r="I22" s="548" t="s">
        <v>3074</v>
      </c>
      <c r="J22" s="549"/>
      <c r="K22" s="525"/>
      <c r="L22" s="2021"/>
      <c r="M22" s="2011"/>
      <c r="N22" s="2011"/>
      <c r="O22" s="2020"/>
      <c r="P22" s="3693"/>
      <c r="Q22" s="1503"/>
      <c r="R22" s="1504"/>
      <c r="S22" s="1505"/>
      <c r="T22" s="1504"/>
      <c r="U22" s="1505"/>
      <c r="V22" s="1504"/>
      <c r="W22" s="1505"/>
      <c r="X22" s="1498"/>
      <c r="Y22" s="3693"/>
      <c r="Z22" s="1506"/>
      <c r="AA22" s="1507">
        <v>1</v>
      </c>
      <c r="AB22" s="1507">
        <v>1</v>
      </c>
      <c r="AC22" s="150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1"/>
      <c r="M23" s="2011"/>
      <c r="N23" s="2011"/>
      <c r="O23" s="2020"/>
      <c r="P23" s="3693"/>
      <c r="Q23" s="1503" t="str">
        <f>B23</f>
        <v>交通便捷度</v>
      </c>
      <c r="R23" s="1504" t="s">
        <v>8</v>
      </c>
      <c r="S23" s="1505">
        <f>F23</f>
        <v>100</v>
      </c>
      <c r="T23" s="1504" t="s">
        <v>8</v>
      </c>
      <c r="U23" s="1505">
        <f>H23</f>
        <v>100</v>
      </c>
      <c r="V23" s="1504" t="s">
        <v>8</v>
      </c>
      <c r="W23" s="1505">
        <f>J23</f>
        <v>100</v>
      </c>
      <c r="X23" s="1498"/>
      <c r="Y23" s="3693"/>
      <c r="Z23" s="1506" t="str">
        <f>Q23</f>
        <v>交通便捷度</v>
      </c>
      <c r="AA23" s="1507">
        <f t="shared" si="3"/>
        <v>1</v>
      </c>
      <c r="AB23" s="1507">
        <f t="shared" si="4"/>
        <v>1</v>
      </c>
      <c r="AC23" s="1507">
        <f t="shared" si="5"/>
        <v>1</v>
      </c>
    </row>
    <row r="24" spans="1:29" ht="20.25">
      <c r="A24" s="526"/>
      <c r="B24" s="572"/>
      <c r="C24" s="548" t="s">
        <v>3074</v>
      </c>
      <c r="D24" s="551"/>
      <c r="E24" s="548" t="s">
        <v>3074</v>
      </c>
      <c r="F24" s="549"/>
      <c r="G24" s="548" t="s">
        <v>3074</v>
      </c>
      <c r="H24" s="549"/>
      <c r="I24" s="548" t="s">
        <v>3074</v>
      </c>
      <c r="J24" s="549"/>
      <c r="K24" s="525"/>
      <c r="L24" s="2021"/>
      <c r="M24" s="2011"/>
      <c r="N24" s="2011"/>
      <c r="O24" s="2020"/>
      <c r="P24" s="3693"/>
      <c r="Q24" s="1503"/>
      <c r="R24" s="1504"/>
      <c r="S24" s="1505"/>
      <c r="T24" s="1504"/>
      <c r="U24" s="1505"/>
      <c r="V24" s="1504"/>
      <c r="W24" s="1505"/>
      <c r="X24" s="1498"/>
      <c r="Y24" s="3693"/>
      <c r="Z24" s="1506"/>
      <c r="AA24" s="1507">
        <v>1</v>
      </c>
      <c r="AB24" s="1507">
        <v>1</v>
      </c>
      <c r="AC24" s="150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1"/>
      <c r="M25" s="2011"/>
      <c r="N25" s="2011"/>
      <c r="O25" s="2020"/>
      <c r="P25" s="3693"/>
      <c r="Q25" s="1503" t="str">
        <f t="shared" ref="Q25:Q39" si="8">B25</f>
        <v>区域土地利用方向</v>
      </c>
      <c r="R25" s="1504" t="s">
        <v>8</v>
      </c>
      <c r="S25" s="1505">
        <f>F25</f>
        <v>100</v>
      </c>
      <c r="T25" s="1504" t="s">
        <v>8</v>
      </c>
      <c r="U25" s="1505">
        <f>H25</f>
        <v>100</v>
      </c>
      <c r="V25" s="1504" t="s">
        <v>8</v>
      </c>
      <c r="W25" s="1505">
        <f>J25</f>
        <v>100</v>
      </c>
      <c r="X25" s="1498"/>
      <c r="Y25" s="3693"/>
      <c r="Z25" s="1506" t="str">
        <f>Q25</f>
        <v>区域土地利用方向</v>
      </c>
      <c r="AA25" s="1507">
        <f t="shared" si="3"/>
        <v>1</v>
      </c>
      <c r="AB25" s="1507">
        <f t="shared" si="4"/>
        <v>1</v>
      </c>
      <c r="AC25" s="1507">
        <f t="shared" si="5"/>
        <v>1</v>
      </c>
    </row>
    <row r="26" spans="1:29" ht="20.25">
      <c r="A26" s="509"/>
      <c r="B26" s="992"/>
      <c r="C26" s="548" t="s">
        <v>3074</v>
      </c>
      <c r="D26" s="551"/>
      <c r="E26" s="548" t="s">
        <v>3074</v>
      </c>
      <c r="F26" s="549"/>
      <c r="G26" s="548" t="s">
        <v>3074</v>
      </c>
      <c r="H26" s="549"/>
      <c r="I26" s="548" t="s">
        <v>3074</v>
      </c>
      <c r="J26" s="549"/>
      <c r="K26" s="525"/>
      <c r="L26" s="2021"/>
      <c r="M26" s="2011"/>
      <c r="N26" s="2011"/>
      <c r="O26" s="2020"/>
      <c r="P26" s="3693"/>
      <c r="Q26" s="1503"/>
      <c r="R26" s="1504"/>
      <c r="S26" s="1505"/>
      <c r="T26" s="1504"/>
      <c r="U26" s="1505"/>
      <c r="V26" s="1504"/>
      <c r="W26" s="1505"/>
      <c r="X26" s="1498"/>
      <c r="Y26" s="3693"/>
      <c r="Z26" s="1506"/>
      <c r="AA26" s="1507"/>
      <c r="AB26" s="1507"/>
      <c r="AC26" s="150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1"/>
      <c r="M27" s="2011"/>
      <c r="N27" s="2011"/>
      <c r="O27" s="2020"/>
      <c r="P27" s="3693"/>
      <c r="Q27" s="1503" t="str">
        <f t="shared" si="8"/>
        <v>自然及人文环境状况</v>
      </c>
      <c r="R27" s="1504" t="s">
        <v>8</v>
      </c>
      <c r="S27" s="1505">
        <f>F27</f>
        <v>100</v>
      </c>
      <c r="T27" s="1504" t="s">
        <v>8</v>
      </c>
      <c r="U27" s="1505">
        <f>H27</f>
        <v>100</v>
      </c>
      <c r="V27" s="1504" t="s">
        <v>8</v>
      </c>
      <c r="W27" s="1505">
        <f>J27</f>
        <v>100</v>
      </c>
      <c r="X27" s="1498"/>
      <c r="Y27" s="3693"/>
      <c r="Z27" s="1506" t="str">
        <f>Q27</f>
        <v>自然及人文环境状况</v>
      </c>
      <c r="AA27" s="1507">
        <f t="shared" si="3"/>
        <v>1</v>
      </c>
      <c r="AB27" s="1507">
        <f t="shared" si="4"/>
        <v>1</v>
      </c>
      <c r="AC27" s="1507">
        <f t="shared" si="5"/>
        <v>1</v>
      </c>
    </row>
    <row r="28" spans="1:29" ht="20.25">
      <c r="A28" s="509"/>
      <c r="B28" s="560"/>
      <c r="C28" s="548" t="s">
        <v>3074</v>
      </c>
      <c r="D28" s="551"/>
      <c r="E28" s="548" t="s">
        <v>3074</v>
      </c>
      <c r="F28" s="549"/>
      <c r="G28" s="548" t="s">
        <v>3074</v>
      </c>
      <c r="H28" s="549"/>
      <c r="I28" s="548" t="s">
        <v>3074</v>
      </c>
      <c r="J28" s="549"/>
      <c r="K28" s="525"/>
      <c r="L28" s="2021"/>
      <c r="M28" s="2011"/>
      <c r="N28" s="2011"/>
      <c r="O28" s="2020"/>
      <c r="P28" s="3693"/>
      <c r="Q28" s="1503"/>
      <c r="R28" s="1504"/>
      <c r="S28" s="1505"/>
      <c r="T28" s="1504"/>
      <c r="U28" s="1505"/>
      <c r="V28" s="1504"/>
      <c r="W28" s="1505"/>
      <c r="X28" s="1498"/>
      <c r="Y28" s="3693"/>
      <c r="Z28" s="1506"/>
      <c r="AA28" s="1507">
        <v>1</v>
      </c>
      <c r="AB28" s="1507">
        <v>1</v>
      </c>
      <c r="AC28" s="1507">
        <v>1</v>
      </c>
    </row>
    <row r="29" spans="1:29" s="1201" customFormat="1" ht="42.75">
      <c r="A29" s="571"/>
      <c r="B29" s="2432" t="s">
        <v>2527</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4"/>
      <c r="M29" s="2011"/>
      <c r="N29" s="2011"/>
      <c r="O29" s="2016"/>
      <c r="P29" s="3693"/>
      <c r="Q29" s="1132" t="str">
        <f t="shared" si="8"/>
        <v>公共配套设施</v>
      </c>
      <c r="R29" s="1499" t="s">
        <v>8</v>
      </c>
      <c r="S29" s="1500">
        <f>F29</f>
        <v>100</v>
      </c>
      <c r="T29" s="1499" t="s">
        <v>8</v>
      </c>
      <c r="U29" s="1500">
        <f>H29</f>
        <v>100</v>
      </c>
      <c r="V29" s="1499" t="s">
        <v>8</v>
      </c>
      <c r="W29" s="1500">
        <f>J29</f>
        <v>100</v>
      </c>
      <c r="X29" s="1501"/>
      <c r="Y29" s="3693"/>
      <c r="Z29" s="1131" t="str">
        <f>Q29</f>
        <v>公共配套设施</v>
      </c>
      <c r="AA29" s="1507">
        <f>D29/F29</f>
        <v>1</v>
      </c>
      <c r="AB29" s="1507">
        <f>D29/H29</f>
        <v>1</v>
      </c>
      <c r="AC29" s="1507">
        <f>D29/J29</f>
        <v>1</v>
      </c>
    </row>
    <row r="30" spans="1:29" s="1201" customFormat="1" ht="20.25">
      <c r="A30" s="571"/>
      <c r="B30" s="560"/>
      <c r="C30" s="573" t="s">
        <v>3074</v>
      </c>
      <c r="D30" s="551"/>
      <c r="E30" s="573" t="s">
        <v>3074</v>
      </c>
      <c r="F30" s="549"/>
      <c r="G30" s="573" t="s">
        <v>3074</v>
      </c>
      <c r="H30" s="549"/>
      <c r="I30" s="573" t="s">
        <v>3074</v>
      </c>
      <c r="J30" s="549"/>
      <c r="K30" s="525"/>
      <c r="L30" s="2014"/>
      <c r="M30" s="2011"/>
      <c r="N30" s="2011"/>
      <c r="O30" s="2016"/>
      <c r="P30" s="3693"/>
      <c r="Q30" s="1132"/>
      <c r="R30" s="1499"/>
      <c r="S30" s="1500"/>
      <c r="T30" s="1499"/>
      <c r="U30" s="1500"/>
      <c r="V30" s="1499"/>
      <c r="W30" s="1500"/>
      <c r="X30" s="1501"/>
      <c r="Y30" s="3693"/>
      <c r="Z30" s="1131"/>
      <c r="AA30" s="1507">
        <v>1</v>
      </c>
      <c r="AB30" s="1507">
        <v>1</v>
      </c>
      <c r="AC30" s="1507">
        <v>1</v>
      </c>
    </row>
    <row r="31" spans="1:29" s="1201" customFormat="1" ht="28.5">
      <c r="A31" s="571"/>
      <c r="B31" s="2432" t="s">
        <v>2528</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4"/>
      <c r="M31" s="2011"/>
      <c r="N31" s="2011"/>
      <c r="O31" s="2016"/>
      <c r="P31" s="3693"/>
      <c r="Q31" s="2425" t="str">
        <f t="shared" ref="Q31" si="9">B31</f>
        <v>基础设施水平</v>
      </c>
      <c r="R31" s="1499" t="s">
        <v>8</v>
      </c>
      <c r="S31" s="1500">
        <f>F31</f>
        <v>100</v>
      </c>
      <c r="T31" s="1499" t="s">
        <v>8</v>
      </c>
      <c r="U31" s="1500">
        <f>H31</f>
        <v>100</v>
      </c>
      <c r="V31" s="1499" t="s">
        <v>8</v>
      </c>
      <c r="W31" s="1500">
        <f>J31</f>
        <v>100</v>
      </c>
      <c r="X31" s="1501"/>
      <c r="Y31" s="3693"/>
      <c r="Z31" s="2424" t="str">
        <f>Q31</f>
        <v>基础设施水平</v>
      </c>
      <c r="AA31" s="1507">
        <f>D31/F31</f>
        <v>1</v>
      </c>
      <c r="AB31" s="1507">
        <f>D31/H31</f>
        <v>1</v>
      </c>
      <c r="AC31" s="1507">
        <f>D31/J31</f>
        <v>1</v>
      </c>
    </row>
    <row r="32" spans="1:29" s="1201" customFormat="1" ht="20.25">
      <c r="A32" s="571"/>
      <c r="B32" s="560"/>
      <c r="C32" s="573" t="s">
        <v>3069</v>
      </c>
      <c r="D32" s="551"/>
      <c r="E32" s="573" t="s">
        <v>3069</v>
      </c>
      <c r="F32" s="549"/>
      <c r="G32" s="573" t="s">
        <v>3069</v>
      </c>
      <c r="H32" s="549"/>
      <c r="I32" s="573" t="s">
        <v>3069</v>
      </c>
      <c r="J32" s="549"/>
      <c r="K32" s="525"/>
      <c r="L32" s="2014"/>
      <c r="M32" s="2011"/>
      <c r="N32" s="2011"/>
      <c r="O32" s="2016"/>
      <c r="P32" s="3693"/>
      <c r="Q32" s="2425"/>
      <c r="R32" s="1499"/>
      <c r="S32" s="1500"/>
      <c r="T32" s="1499"/>
      <c r="U32" s="1500"/>
      <c r="V32" s="1499"/>
      <c r="W32" s="1500"/>
      <c r="X32" s="1501"/>
      <c r="Y32" s="3693"/>
      <c r="Z32" s="2424"/>
      <c r="AA32" s="1507">
        <v>1</v>
      </c>
      <c r="AB32" s="1507">
        <v>1</v>
      </c>
      <c r="AC32" s="1507">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1"/>
      <c r="M33" s="2011"/>
      <c r="N33" s="2011"/>
      <c r="O33" s="2020"/>
      <c r="P33" s="3693"/>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693"/>
      <c r="Z33" s="1506" t="str">
        <f t="shared" ref="Z33:Z47" si="13">Q33</f>
        <v>临街状况</v>
      </c>
      <c r="AA33" s="1507">
        <f t="shared" si="3"/>
        <v>1</v>
      </c>
      <c r="AB33" s="1507">
        <f t="shared" si="4"/>
        <v>1</v>
      </c>
      <c r="AC33" s="1507">
        <f t="shared" si="5"/>
        <v>1</v>
      </c>
    </row>
    <row r="34" spans="1:29" ht="27">
      <c r="A34" s="526"/>
      <c r="B34" s="572" t="s">
        <v>542</v>
      </c>
      <c r="C34" s="3381" t="s">
        <v>3214</v>
      </c>
      <c r="D34" s="557">
        <v>100</v>
      </c>
      <c r="E34" s="3382" t="s">
        <v>3215</v>
      </c>
      <c r="F34" s="553">
        <f>SUMIF(108:108,E35,109:109)-SUMIF(108:108,C35,109:109)+100</f>
        <v>101</v>
      </c>
      <c r="G34" s="3381" t="s">
        <v>3214</v>
      </c>
      <c r="H34" s="553">
        <f>SUMIF(108:108,G35,109:109)-SUMIF(108:108,C35,109:109)+100</f>
        <v>100</v>
      </c>
      <c r="I34" s="3381" t="s">
        <v>3214</v>
      </c>
      <c r="J34" s="553">
        <f>SUMIF(108:108,I35,109:109)-SUMIF(108:108,C35,109:109)+100</f>
        <v>100</v>
      </c>
      <c r="K34" s="529">
        <v>1</v>
      </c>
      <c r="L34" s="2021"/>
      <c r="M34" s="2011"/>
      <c r="N34" s="2011"/>
      <c r="O34" s="2020"/>
      <c r="P34" s="3693"/>
      <c r="Q34" s="1503" t="str">
        <f t="shared" si="8"/>
        <v>毗邻道路的类型与等级</v>
      </c>
      <c r="R34" s="1504" t="s">
        <v>8</v>
      </c>
      <c r="S34" s="1505">
        <f t="shared" si="10"/>
        <v>101</v>
      </c>
      <c r="T34" s="1504" t="s">
        <v>8</v>
      </c>
      <c r="U34" s="1505">
        <f t="shared" si="11"/>
        <v>100</v>
      </c>
      <c r="V34" s="1504" t="s">
        <v>8</v>
      </c>
      <c r="W34" s="1505">
        <f t="shared" si="12"/>
        <v>100</v>
      </c>
      <c r="X34" s="1498"/>
      <c r="Y34" s="3693"/>
      <c r="Z34" s="1506" t="str">
        <f t="shared" si="13"/>
        <v>毗邻道路的类型与等级</v>
      </c>
      <c r="AA34" s="1507">
        <f t="shared" si="3"/>
        <v>0.99009900990099009</v>
      </c>
      <c r="AB34" s="1507">
        <f t="shared" si="4"/>
        <v>1</v>
      </c>
      <c r="AC34" s="1507">
        <f t="shared" si="5"/>
        <v>1</v>
      </c>
    </row>
    <row r="35" spans="1:29" ht="21" thickBot="1">
      <c r="A35" s="526"/>
      <c r="B35" s="560"/>
      <c r="C35" s="548" t="s">
        <v>3211</v>
      </c>
      <c r="D35" s="551"/>
      <c r="E35" s="570" t="s">
        <v>3538</v>
      </c>
      <c r="F35" s="549"/>
      <c r="G35" s="548" t="s">
        <v>3211</v>
      </c>
      <c r="H35" s="549"/>
      <c r="I35" s="570" t="s">
        <v>3211</v>
      </c>
      <c r="J35" s="549"/>
      <c r="K35" s="575"/>
      <c r="L35" s="2021"/>
      <c r="M35" s="2011"/>
      <c r="N35" s="2011"/>
      <c r="O35" s="2020"/>
      <c r="P35" s="3693"/>
      <c r="Q35" s="1503"/>
      <c r="R35" s="1504"/>
      <c r="S35" s="1505"/>
      <c r="T35" s="1504"/>
      <c r="U35" s="1505"/>
      <c r="V35" s="1504"/>
      <c r="W35" s="1505"/>
      <c r="X35" s="1498"/>
      <c r="Y35" s="3693"/>
      <c r="Z35" s="1506"/>
      <c r="AA35" s="1507">
        <v>1</v>
      </c>
      <c r="AB35" s="1507">
        <v>1</v>
      </c>
      <c r="AC35" s="1507">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1"/>
      <c r="M36" s="2011"/>
      <c r="N36" s="2011"/>
      <c r="O36" s="2020"/>
      <c r="P36" s="3693"/>
      <c r="Q36" s="1503" t="str">
        <f t="shared" si="8"/>
        <v>土地级别</v>
      </c>
      <c r="R36" s="1504" t="s">
        <v>8</v>
      </c>
      <c r="S36" s="1505">
        <f t="shared" si="10"/>
        <v>100</v>
      </c>
      <c r="T36" s="1504" t="s">
        <v>8</v>
      </c>
      <c r="U36" s="1505">
        <f t="shared" si="11"/>
        <v>100</v>
      </c>
      <c r="V36" s="1504" t="s">
        <v>8</v>
      </c>
      <c r="W36" s="1505">
        <f t="shared" si="12"/>
        <v>100</v>
      </c>
      <c r="X36" s="1498"/>
      <c r="Y36" s="3693"/>
      <c r="Z36" s="1506" t="str">
        <f t="shared" si="13"/>
        <v>土地级别</v>
      </c>
      <c r="AA36" s="1507">
        <f t="shared" si="3"/>
        <v>1</v>
      </c>
      <c r="AB36" s="1507">
        <f t="shared" si="4"/>
        <v>1</v>
      </c>
      <c r="AC36" s="1507">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1"/>
      <c r="M37" s="2011"/>
      <c r="N37" s="2011"/>
      <c r="O37" s="2020"/>
      <c r="P37" s="3693"/>
      <c r="Q37" s="1503">
        <f t="shared" si="8"/>
        <v>111</v>
      </c>
      <c r="R37" s="1504" t="s">
        <v>8</v>
      </c>
      <c r="S37" s="1505">
        <f t="shared" si="10"/>
        <v>100</v>
      </c>
      <c r="T37" s="1504" t="s">
        <v>8</v>
      </c>
      <c r="U37" s="1505">
        <f t="shared" si="11"/>
        <v>100</v>
      </c>
      <c r="V37" s="1504" t="s">
        <v>8</v>
      </c>
      <c r="W37" s="1505">
        <f t="shared" si="12"/>
        <v>100</v>
      </c>
      <c r="X37" s="1498"/>
      <c r="Y37" s="3693"/>
      <c r="Z37" s="1506">
        <f t="shared" si="13"/>
        <v>111</v>
      </c>
      <c r="AA37" s="1507">
        <f t="shared" si="3"/>
        <v>1</v>
      </c>
      <c r="AB37" s="1507">
        <f t="shared" si="4"/>
        <v>1</v>
      </c>
      <c r="AC37" s="1507">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1"/>
      <c r="M38" s="2011"/>
      <c r="N38" s="2011"/>
      <c r="O38" s="2020"/>
      <c r="P38" s="3694" t="s">
        <v>544</v>
      </c>
      <c r="Q38" s="1503">
        <f t="shared" si="8"/>
        <v>111</v>
      </c>
      <c r="R38" s="1504" t="s">
        <v>8</v>
      </c>
      <c r="S38" s="1505">
        <f t="shared" si="10"/>
        <v>100</v>
      </c>
      <c r="T38" s="1504" t="s">
        <v>8</v>
      </c>
      <c r="U38" s="1505">
        <f t="shared" si="11"/>
        <v>100</v>
      </c>
      <c r="V38" s="1504" t="s">
        <v>8</v>
      </c>
      <c r="W38" s="1505">
        <f t="shared" si="12"/>
        <v>100</v>
      </c>
      <c r="X38" s="1498"/>
      <c r="Y38" s="3695" t="s">
        <v>544</v>
      </c>
      <c r="Z38" s="1506">
        <f t="shared" si="13"/>
        <v>111</v>
      </c>
      <c r="AA38" s="1507">
        <f t="shared" si="3"/>
        <v>1</v>
      </c>
      <c r="AB38" s="1507">
        <f t="shared" si="4"/>
        <v>1</v>
      </c>
      <c r="AC38" s="1507">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9"/>
      <c r="M39" s="2011"/>
      <c r="N39" s="2011"/>
      <c r="O39" s="2022"/>
      <c r="P39" s="3695"/>
      <c r="Q39" s="1503">
        <f t="shared" si="8"/>
        <v>111</v>
      </c>
      <c r="R39" s="1508" t="s">
        <v>8</v>
      </c>
      <c r="S39" s="1509">
        <f t="shared" si="10"/>
        <v>100</v>
      </c>
      <c r="T39" s="1508" t="s">
        <v>8</v>
      </c>
      <c r="U39" s="1509">
        <f t="shared" si="11"/>
        <v>100</v>
      </c>
      <c r="V39" s="1508" t="s">
        <v>8</v>
      </c>
      <c r="W39" s="1509">
        <f t="shared" si="12"/>
        <v>100</v>
      </c>
      <c r="X39" s="1510"/>
      <c r="Y39" s="3695"/>
      <c r="Z39" s="1511">
        <f t="shared" si="13"/>
        <v>111</v>
      </c>
      <c r="AA39" s="1507">
        <f t="shared" si="3"/>
        <v>1</v>
      </c>
      <c r="AB39" s="1507">
        <f t="shared" si="4"/>
        <v>1</v>
      </c>
      <c r="AC39" s="1507">
        <f t="shared" si="5"/>
        <v>1</v>
      </c>
    </row>
    <row r="40" spans="1:29" ht="20.25">
      <c r="A40" s="2621" t="s">
        <v>2732</v>
      </c>
      <c r="B40" s="589" t="s">
        <v>546</v>
      </c>
      <c r="C40" s="590">
        <f>'数据-基础表'!A3</f>
        <v>19463.21</v>
      </c>
      <c r="D40" s="591">
        <v>100</v>
      </c>
      <c r="E40" s="590">
        <f>土地案例!G4</f>
        <v>5068</v>
      </c>
      <c r="F40" s="591">
        <f>LOOKUP(E40,119:119,120:120)-LOOKUP(C40,119:119,120:120)+100</f>
        <v>100</v>
      </c>
      <c r="G40" s="590">
        <f>土地案例!G7</f>
        <v>4818</v>
      </c>
      <c r="H40" s="591">
        <f>LOOKUP(G40,119:119,120:120)-LOOKUP(C40,119:119,120:120)+100</f>
        <v>100</v>
      </c>
      <c r="I40" s="592">
        <f>土地案例!G8</f>
        <v>8467.2199999999993</v>
      </c>
      <c r="J40" s="591">
        <f>LOOKUP(I40,119:119,120:120)-LOOKUP(C40,119:119,120:120)+100</f>
        <v>100</v>
      </c>
      <c r="K40" s="575"/>
      <c r="L40" s="2021"/>
      <c r="M40" s="2011"/>
      <c r="N40" s="2011"/>
      <c r="O40" s="2020"/>
      <c r="P40" s="3695"/>
      <c r="Q40" s="1503" t="str">
        <f>B40</f>
        <v>宗地面积</v>
      </c>
      <c r="R40" s="1504" t="s">
        <v>8</v>
      </c>
      <c r="S40" s="1505">
        <f t="shared" si="10"/>
        <v>100</v>
      </c>
      <c r="T40" s="1504" t="s">
        <v>8</v>
      </c>
      <c r="U40" s="1505">
        <f t="shared" si="11"/>
        <v>100</v>
      </c>
      <c r="V40" s="1504" t="s">
        <v>8</v>
      </c>
      <c r="W40" s="1505">
        <f t="shared" si="12"/>
        <v>100</v>
      </c>
      <c r="X40" s="1498"/>
      <c r="Y40" s="3695"/>
      <c r="Z40" s="1506" t="str">
        <f t="shared" si="13"/>
        <v>宗地面积</v>
      </c>
      <c r="AA40" s="1507">
        <f t="shared" si="3"/>
        <v>1</v>
      </c>
      <c r="AB40" s="1507">
        <f t="shared" si="4"/>
        <v>1</v>
      </c>
      <c r="AC40" s="1507">
        <f t="shared" si="5"/>
        <v>1</v>
      </c>
    </row>
    <row r="41" spans="1:29" ht="20.25">
      <c r="A41" s="588"/>
      <c r="B41" s="521" t="s">
        <v>547</v>
      </c>
      <c r="C41" s="593" t="s">
        <v>3064</v>
      </c>
      <c r="D41" s="534">
        <v>100</v>
      </c>
      <c r="E41" s="593" t="s">
        <v>3064</v>
      </c>
      <c r="F41" s="534">
        <f>SUMIF(121:121,E41,122:122)-SUMIF(121:121,C41,122:122)+100</f>
        <v>100</v>
      </c>
      <c r="G41" s="593" t="s">
        <v>3064</v>
      </c>
      <c r="H41" s="534">
        <f>SUMIF(121:121,G41,122:122)-SUMIF(121:121,C41,122:122)+100</f>
        <v>100</v>
      </c>
      <c r="I41" s="593" t="s">
        <v>3064</v>
      </c>
      <c r="J41" s="534">
        <f>SUMIF(121:121,I41,122:122)-SUMIF(121:121,C41,122:122)+100</f>
        <v>100</v>
      </c>
      <c r="K41" s="578">
        <v>1</v>
      </c>
      <c r="L41" s="2021"/>
      <c r="M41" s="2011"/>
      <c r="N41" s="2011"/>
      <c r="O41" s="2020"/>
      <c r="P41" s="3695"/>
      <c r="Q41" s="1503" t="str">
        <f t="shared" ref="Q41:Q47" si="14">B41</f>
        <v>宗地形状</v>
      </c>
      <c r="R41" s="1504" t="s">
        <v>8</v>
      </c>
      <c r="S41" s="1505">
        <f t="shared" si="10"/>
        <v>100</v>
      </c>
      <c r="T41" s="1504" t="s">
        <v>8</v>
      </c>
      <c r="U41" s="1505">
        <f t="shared" si="11"/>
        <v>100</v>
      </c>
      <c r="V41" s="1504" t="s">
        <v>8</v>
      </c>
      <c r="W41" s="1505">
        <f t="shared" si="12"/>
        <v>100</v>
      </c>
      <c r="X41" s="1498"/>
      <c r="Y41" s="3695"/>
      <c r="Z41" s="1506" t="str">
        <f t="shared" si="13"/>
        <v>宗地形状</v>
      </c>
      <c r="AA41" s="1507">
        <f t="shared" si="3"/>
        <v>1</v>
      </c>
      <c r="AB41" s="1507">
        <f t="shared" si="4"/>
        <v>1</v>
      </c>
      <c r="AC41" s="1507">
        <f t="shared" si="5"/>
        <v>1</v>
      </c>
    </row>
    <row r="42" spans="1:29" ht="20.25" hidden="1">
      <c r="A42" s="588"/>
      <c r="B42" s="521" t="s">
        <v>548</v>
      </c>
      <c r="C42" s="593" t="s">
        <v>3066</v>
      </c>
      <c r="D42" s="534">
        <v>100</v>
      </c>
      <c r="E42" s="593" t="s">
        <v>3066</v>
      </c>
      <c r="F42" s="534">
        <f>SUMIF(123:123,E42,124:124)-SUMIF(123:123,C42,124:124)+100</f>
        <v>100</v>
      </c>
      <c r="G42" s="593" t="s">
        <v>3066</v>
      </c>
      <c r="H42" s="534">
        <f>SUMIF(123:123,G42,124:124)-SUMIF(123:123,C42,124:124)+100</f>
        <v>100</v>
      </c>
      <c r="I42" s="593" t="s">
        <v>3066</v>
      </c>
      <c r="J42" s="534">
        <f>SUMIF(123:123,I42,124:124)-SUMIF(123:123,C42,124:124)+100</f>
        <v>100</v>
      </c>
      <c r="K42" s="578">
        <v>1</v>
      </c>
      <c r="L42" s="2021"/>
      <c r="M42" s="2011"/>
      <c r="N42" s="2011"/>
      <c r="O42" s="2020"/>
      <c r="P42" s="3695"/>
      <c r="Q42" s="1503" t="str">
        <f t="shared" si="14"/>
        <v>临街宽度及深度</v>
      </c>
      <c r="R42" s="1504" t="s">
        <v>8</v>
      </c>
      <c r="S42" s="1505">
        <f t="shared" si="10"/>
        <v>100</v>
      </c>
      <c r="T42" s="1504" t="s">
        <v>8</v>
      </c>
      <c r="U42" s="1505">
        <f t="shared" si="11"/>
        <v>100</v>
      </c>
      <c r="V42" s="1504" t="s">
        <v>8</v>
      </c>
      <c r="W42" s="1505">
        <f t="shared" si="12"/>
        <v>100</v>
      </c>
      <c r="X42" s="1498"/>
      <c r="Y42" s="3695"/>
      <c r="Z42" s="1506" t="str">
        <f t="shared" si="13"/>
        <v>临街宽度及深度</v>
      </c>
      <c r="AA42" s="1507">
        <f t="shared" si="3"/>
        <v>1</v>
      </c>
      <c r="AB42" s="1507">
        <f t="shared" si="4"/>
        <v>1</v>
      </c>
      <c r="AC42" s="1507">
        <f t="shared" si="5"/>
        <v>1</v>
      </c>
    </row>
    <row r="43" spans="1:29" s="1201" customFormat="1" ht="20.25">
      <c r="A43" s="594"/>
      <c r="B43" s="1806" t="s">
        <v>2407</v>
      </c>
      <c r="C43" s="595" t="s">
        <v>3069</v>
      </c>
      <c r="D43" s="253">
        <v>100</v>
      </c>
      <c r="E43" s="595" t="s">
        <v>3069</v>
      </c>
      <c r="F43" s="534">
        <f>SUMIF(125:125,E43,126:126)-SUMIF(125:125,C43,126:126)+100</f>
        <v>100</v>
      </c>
      <c r="G43" s="595" t="s">
        <v>3069</v>
      </c>
      <c r="H43" s="534">
        <f>SUMIF(125:125,G43,126:126)-SUMIF(125:125,C43,126:126)+100</f>
        <v>100</v>
      </c>
      <c r="I43" s="595" t="s">
        <v>3069</v>
      </c>
      <c r="J43" s="534">
        <f>SUMIF(125:125,I43,126:126)-SUMIF(125:125,C43,126:126)+100</f>
        <v>100</v>
      </c>
      <c r="K43" s="578">
        <v>1</v>
      </c>
      <c r="L43" s="2014"/>
      <c r="M43" s="2011"/>
      <c r="N43" s="2011"/>
      <c r="O43" s="2016"/>
      <c r="P43" s="3695"/>
      <c r="Q43" s="1503" t="str">
        <f t="shared" si="14"/>
        <v>宗地开发程度</v>
      </c>
      <c r="R43" s="1499" t="s">
        <v>8</v>
      </c>
      <c r="S43" s="1500">
        <f t="shared" si="10"/>
        <v>100</v>
      </c>
      <c r="T43" s="1499" t="s">
        <v>8</v>
      </c>
      <c r="U43" s="1500">
        <f t="shared" si="11"/>
        <v>100</v>
      </c>
      <c r="V43" s="1499" t="s">
        <v>8</v>
      </c>
      <c r="W43" s="1500">
        <f t="shared" si="12"/>
        <v>100</v>
      </c>
      <c r="X43" s="1501"/>
      <c r="Y43" s="3695"/>
      <c r="Z43" s="1131" t="str">
        <f t="shared" si="13"/>
        <v>宗地开发程度</v>
      </c>
      <c r="AA43" s="1502">
        <f t="shared" si="3"/>
        <v>1</v>
      </c>
      <c r="AB43" s="1502">
        <f t="shared" si="4"/>
        <v>1</v>
      </c>
      <c r="AC43" s="1502">
        <f t="shared" si="5"/>
        <v>1</v>
      </c>
    </row>
    <row r="44" spans="1:29" ht="21" thickBot="1">
      <c r="A44" s="588"/>
      <c r="B44" s="521" t="s">
        <v>549</v>
      </c>
      <c r="C44" s="593" t="s">
        <v>3074</v>
      </c>
      <c r="D44" s="534">
        <v>100</v>
      </c>
      <c r="E44" s="593" t="s">
        <v>3074</v>
      </c>
      <c r="F44" s="534">
        <f>SUMIF(127:127,E44,128:128)-SUMIF(127:127,C44,128:128)+100</f>
        <v>100</v>
      </c>
      <c r="G44" s="593" t="s">
        <v>3074</v>
      </c>
      <c r="H44" s="534">
        <f>SUMIF(127:127,G44,128:128)-SUMIF(127:127,C44,128:128)+100</f>
        <v>100</v>
      </c>
      <c r="I44" s="593" t="s">
        <v>3074</v>
      </c>
      <c r="J44" s="534">
        <f>SUMIF(127:127,I44,128:128)-SUMIF(127:127,C44,128:128)+100</f>
        <v>100</v>
      </c>
      <c r="K44" s="578">
        <v>1</v>
      </c>
      <c r="L44" s="2021"/>
      <c r="M44" s="2011"/>
      <c r="N44" s="2011"/>
      <c r="O44" s="2020"/>
      <c r="P44" s="3695" t="s">
        <v>544</v>
      </c>
      <c r="Q44" s="1503" t="str">
        <f t="shared" si="14"/>
        <v>工程地质条件</v>
      </c>
      <c r="R44" s="1504" t="s">
        <v>8</v>
      </c>
      <c r="S44" s="1505">
        <f t="shared" si="10"/>
        <v>100</v>
      </c>
      <c r="T44" s="1504" t="s">
        <v>8</v>
      </c>
      <c r="U44" s="1505">
        <f t="shared" si="11"/>
        <v>100</v>
      </c>
      <c r="V44" s="1504" t="s">
        <v>8</v>
      </c>
      <c r="W44" s="1505">
        <f t="shared" si="12"/>
        <v>100</v>
      </c>
      <c r="X44" s="1498"/>
      <c r="Y44" s="3695" t="s">
        <v>544</v>
      </c>
      <c r="Z44" s="1506" t="str">
        <f t="shared" si="13"/>
        <v>工程地质条件</v>
      </c>
      <c r="AA44" s="1507">
        <f t="shared" si="3"/>
        <v>1</v>
      </c>
      <c r="AB44" s="1507">
        <f t="shared" si="4"/>
        <v>1</v>
      </c>
      <c r="AC44" s="1507">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1"/>
      <c r="M45" s="2011"/>
      <c r="N45" s="2011"/>
      <c r="O45" s="2020"/>
      <c r="P45" s="3695"/>
      <c r="Q45" s="1503">
        <f t="shared" si="14"/>
        <v>111</v>
      </c>
      <c r="R45" s="1504" t="s">
        <v>8</v>
      </c>
      <c r="S45" s="1505">
        <f t="shared" si="10"/>
        <v>100</v>
      </c>
      <c r="T45" s="1504" t="s">
        <v>8</v>
      </c>
      <c r="U45" s="1505">
        <f t="shared" si="11"/>
        <v>100</v>
      </c>
      <c r="V45" s="1504" t="s">
        <v>8</v>
      </c>
      <c r="W45" s="1505">
        <f t="shared" si="12"/>
        <v>100</v>
      </c>
      <c r="X45" s="1498"/>
      <c r="Y45" s="3695"/>
      <c r="Z45" s="1506">
        <f t="shared" si="13"/>
        <v>111</v>
      </c>
      <c r="AA45" s="1507">
        <f t="shared" si="3"/>
        <v>1</v>
      </c>
      <c r="AB45" s="1507">
        <f t="shared" si="4"/>
        <v>1</v>
      </c>
      <c r="AC45" s="1507">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1"/>
      <c r="M46" s="2011"/>
      <c r="N46" s="2011"/>
      <c r="O46" s="2020"/>
      <c r="P46" s="3695"/>
      <c r="Q46" s="1503">
        <f t="shared" si="14"/>
        <v>111</v>
      </c>
      <c r="R46" s="1504" t="s">
        <v>8</v>
      </c>
      <c r="S46" s="1505">
        <f t="shared" si="10"/>
        <v>100</v>
      </c>
      <c r="T46" s="1504" t="s">
        <v>8</v>
      </c>
      <c r="U46" s="1505">
        <f t="shared" si="11"/>
        <v>100</v>
      </c>
      <c r="V46" s="1504" t="s">
        <v>8</v>
      </c>
      <c r="W46" s="1505">
        <f t="shared" si="12"/>
        <v>100</v>
      </c>
      <c r="X46" s="1498"/>
      <c r="Y46" s="3695"/>
      <c r="Z46" s="1506">
        <f t="shared" si="13"/>
        <v>111</v>
      </c>
      <c r="AA46" s="1507">
        <f t="shared" si="3"/>
        <v>1</v>
      </c>
      <c r="AB46" s="1507">
        <f t="shared" si="4"/>
        <v>1</v>
      </c>
      <c r="AC46" s="1507">
        <f t="shared" si="5"/>
        <v>1</v>
      </c>
    </row>
    <row r="47" spans="1:29" s="1291"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9"/>
      <c r="M47" s="2011"/>
      <c r="N47" s="2011"/>
      <c r="O47" s="2022"/>
      <c r="P47" s="3695"/>
      <c r="Q47" s="1503">
        <f t="shared" si="14"/>
        <v>111</v>
      </c>
      <c r="R47" s="1508" t="s">
        <v>8</v>
      </c>
      <c r="S47" s="1509">
        <f t="shared" si="10"/>
        <v>100</v>
      </c>
      <c r="T47" s="1508" t="s">
        <v>8</v>
      </c>
      <c r="U47" s="1509">
        <f t="shared" si="11"/>
        <v>100</v>
      </c>
      <c r="V47" s="1508" t="s">
        <v>8</v>
      </c>
      <c r="W47" s="1509">
        <f t="shared" si="12"/>
        <v>100</v>
      </c>
      <c r="X47" s="1510"/>
      <c r="Y47" s="3695"/>
      <c r="Z47" s="1511">
        <f t="shared" si="13"/>
        <v>111</v>
      </c>
      <c r="AA47" s="1507">
        <f t="shared" si="3"/>
        <v>1</v>
      </c>
      <c r="AB47" s="1507">
        <f t="shared" si="4"/>
        <v>1</v>
      </c>
      <c r="AC47" s="1507">
        <f t="shared" si="5"/>
        <v>1</v>
      </c>
    </row>
    <row r="48" spans="1:29" ht="20.25">
      <c r="A48" s="601" t="s">
        <v>550</v>
      </c>
      <c r="B48" s="602" t="s">
        <v>3059</v>
      </c>
      <c r="C48" s="603" t="s">
        <v>1</v>
      </c>
      <c r="D48" s="604"/>
      <c r="E48" s="605">
        <v>10753</v>
      </c>
      <c r="F48" s="606"/>
      <c r="G48" s="607">
        <v>8000</v>
      </c>
      <c r="H48" s="608"/>
      <c r="I48" s="605">
        <v>8009</v>
      </c>
      <c r="J48" s="608"/>
      <c r="K48" s="1292"/>
      <c r="L48" s="2023"/>
      <c r="M48" s="2011"/>
      <c r="N48" s="2011"/>
      <c r="O48" s="2024"/>
      <c r="P48" s="3658" t="str">
        <f>A48</f>
        <v>成交单价</v>
      </c>
      <c r="Q48" s="3658"/>
      <c r="R48" s="3659">
        <f>E48</f>
        <v>10753</v>
      </c>
      <c r="S48" s="3659"/>
      <c r="T48" s="3659">
        <f>G48</f>
        <v>8000</v>
      </c>
      <c r="U48" s="3659"/>
      <c r="V48" s="3659">
        <f>I48</f>
        <v>8009</v>
      </c>
      <c r="W48" s="3659"/>
      <c r="X48" s="1493"/>
      <c r="Y48" s="1512"/>
      <c r="Z48" s="1493"/>
      <c r="AA48" s="1493"/>
      <c r="AB48" s="1493"/>
      <c r="AC48" s="1493"/>
    </row>
    <row r="49" spans="1:29" ht="21" thickBot="1">
      <c r="A49" s="609" t="s">
        <v>2670</v>
      </c>
      <c r="B49" s="610"/>
      <c r="C49" s="611">
        <f>R50</f>
        <v>8348</v>
      </c>
      <c r="D49" s="3011" t="s">
        <v>2964</v>
      </c>
      <c r="E49" s="611">
        <f>R49</f>
        <v>9855</v>
      </c>
      <c r="F49" s="3012"/>
      <c r="G49" s="612">
        <f>T49</f>
        <v>7481</v>
      </c>
      <c r="H49" s="3012"/>
      <c r="I49" s="611">
        <f>V49</f>
        <v>7708</v>
      </c>
      <c r="J49" s="3012"/>
      <c r="K49" s="3013">
        <f>F49+H49+J49</f>
        <v>0</v>
      </c>
      <c r="L49" s="2023"/>
      <c r="M49" s="2011"/>
      <c r="N49" s="2011"/>
      <c r="O49" s="2024"/>
      <c r="P49" s="3658" t="str">
        <f>A49</f>
        <v>比较价格（元/平方米）</v>
      </c>
      <c r="Q49" s="3658"/>
      <c r="R49" s="3660">
        <f>ROUND(PRODUCT(R48,AA9:AA47),0)</f>
        <v>9855</v>
      </c>
      <c r="S49" s="3660"/>
      <c r="T49" s="3660">
        <f>ROUND(PRODUCT(T48,AB9:AB47),0)</f>
        <v>7481</v>
      </c>
      <c r="U49" s="3660"/>
      <c r="V49" s="3660">
        <f>ROUND(PRODUCT(V48,AC9:AC47),0)</f>
        <v>7708</v>
      </c>
      <c r="W49" s="3660"/>
      <c r="X49" s="1493"/>
      <c r="Y49" s="1493"/>
      <c r="Z49" s="1493"/>
      <c r="AA49" s="1493"/>
      <c r="AB49" s="1493"/>
      <c r="AC49" s="1493"/>
    </row>
    <row r="50" spans="1:29" ht="21" thickBot="1">
      <c r="A50" s="613" t="s">
        <v>2896</v>
      </c>
      <c r="B50" s="614"/>
      <c r="C50" s="615">
        <f>R50</f>
        <v>8348</v>
      </c>
      <c r="D50" s="615"/>
      <c r="E50" s="615"/>
      <c r="F50" s="615"/>
      <c r="G50" s="615"/>
      <c r="H50" s="615"/>
      <c r="I50" s="615"/>
      <c r="J50" s="615"/>
      <c r="K50" s="1293"/>
      <c r="L50" s="2023"/>
      <c r="M50" s="2011"/>
      <c r="N50" s="2011"/>
      <c r="O50" s="2024"/>
      <c r="P50" s="3655" t="str">
        <f>A50</f>
        <v>估价对象XX用房的比较价格（楼面单价，元/平方米）</v>
      </c>
      <c r="Q50" s="3656"/>
      <c r="R50" s="3657">
        <f>ROUND(IF(D49="简单平均",AVERAGE(R49:W49),R49*F49+T49*H49+V49*J49),0)</f>
        <v>8348</v>
      </c>
      <c r="S50" s="3657"/>
      <c r="T50" s="3657"/>
      <c r="U50" s="3657"/>
      <c r="V50" s="3657"/>
      <c r="W50" s="3657"/>
      <c r="X50" s="1493"/>
      <c r="Y50" s="1493"/>
      <c r="Z50" s="1493"/>
      <c r="AA50" s="1493"/>
      <c r="AB50" s="1493"/>
      <c r="AC50" s="1493"/>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9.1121258244545977E-2</v>
      </c>
      <c r="F53" s="619" t="str">
        <f>IF(OR(E53&gt;=0.3,E53&lt;=-0.3),"超过30%","")</f>
        <v/>
      </c>
      <c r="G53" s="618">
        <f>IF(G48&lt;G49,G49/G48-1,G48/G49-1)</f>
        <v>6.9375751904825478E-2</v>
      </c>
      <c r="H53" s="619" t="str">
        <f>IF(OR(G53&gt;=0.3,G53&lt;=-0.3),"超过30%","")</f>
        <v/>
      </c>
      <c r="I53" s="618">
        <f>IF(I48&lt;I49,I49/I48-1,I48/I49-1)</f>
        <v>3.9050337311883787E-2</v>
      </c>
      <c r="J53" s="619"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0.31733725437775706</v>
      </c>
      <c r="F54" s="619" t="str">
        <f>IF(OR(E54&gt;=0.2,E54&lt;=-0.2),"超过20%","")</f>
        <v>超过20%</v>
      </c>
      <c r="G54" s="618">
        <f>IF(G49&lt;I49,I49/G49-1,G49/I49-1)</f>
        <v>3.0343536960299344E-2</v>
      </c>
      <c r="H54" s="619" t="str">
        <f>IF(OR(G54&gt;=0.2,G54&lt;=-0.2),"超过20%","")</f>
        <v/>
      </c>
      <c r="I54" s="618">
        <f>IF(I49&lt;E49,E49/I49-1,I49/E49-1)</f>
        <v>0.27854177477944986</v>
      </c>
      <c r="J54" s="619" t="str">
        <f>IF(OR(I54&gt;=0.2,I54&lt;=-0.2),"超过20%","")</f>
        <v>超过20%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0.34412500000000001</v>
      </c>
      <c r="F55" s="619" t="str">
        <f>IF(OR(E55&gt;=0.3,E55&lt;=-0.3),"超过30%","")</f>
        <v>超过30%</v>
      </c>
      <c r="G55" s="618">
        <f>IF(G48&lt;I48,I48/G48-1,G48/I48-1)</f>
        <v>1.1250000000000426E-3</v>
      </c>
      <c r="H55" s="619" t="str">
        <f>IF(OR(G55&gt;=0.3,G55&lt;=-0.3),"超过30%","")</f>
        <v/>
      </c>
      <c r="I55" s="618">
        <f>IF(I48&lt;E48,E48/I48-1,I48/E48-1)</f>
        <v>0.34261455862155077</v>
      </c>
      <c r="J55" s="619" t="str">
        <f>IF(OR(I55&gt;=0.3,I55&lt;=-0.3),"超过30%","")</f>
        <v>超过30%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1" t="s">
        <v>554</v>
      </c>
      <c r="B57" s="622" t="s">
        <v>555</v>
      </c>
      <c r="C57" s="1494" t="s">
        <v>3503</v>
      </c>
      <c r="D57" s="2104" t="s">
        <v>2279</v>
      </c>
      <c r="E57" s="623" t="s">
        <v>556</v>
      </c>
      <c r="F57" s="624" t="s">
        <v>557</v>
      </c>
      <c r="G57" s="3684" t="s">
        <v>2267</v>
      </c>
      <c r="H57" s="3685"/>
      <c r="I57" s="1490" t="s">
        <v>1712</v>
      </c>
      <c r="J57" s="1490" t="str">
        <f>项目基本情况!F41</f>
        <v>湖北省武汉市</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5" t="s">
        <v>558</v>
      </c>
      <c r="B58" s="626">
        <f>C50</f>
        <v>8348</v>
      </c>
      <c r="C58" s="627">
        <v>1</v>
      </c>
      <c r="D58" s="2105">
        <v>1</v>
      </c>
      <c r="E58" s="627">
        <f>'数据-汇总表'!E8+'数据-汇总表'!E9</f>
        <v>137194.27000000002</v>
      </c>
      <c r="F58" s="628">
        <f t="shared" ref="F58:F67" si="15">ROUND(B58*E58/10000,0)</f>
        <v>114530</v>
      </c>
      <c r="G58" s="3686"/>
      <c r="H58" s="3687"/>
      <c r="I58" s="1491">
        <v>1</v>
      </c>
      <c r="J58" s="1491">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559</v>
      </c>
      <c r="B59" s="630">
        <f>ROUND($C$50*C59*D59,0)</f>
        <v>0</v>
      </c>
      <c r="C59" s="372">
        <f t="shared" ref="C59:C67" si="16">IF($C$57="北京市系数",I59,J59)</f>
        <v>0</v>
      </c>
      <c r="D59" s="2106">
        <v>1</v>
      </c>
      <c r="E59" s="631">
        <f>'数据-汇总表'!G21</f>
        <v>5513.06</v>
      </c>
      <c r="F59" s="628">
        <f t="shared" si="15"/>
        <v>0</v>
      </c>
      <c r="G59" s="3688" t="s">
        <v>2268</v>
      </c>
      <c r="H59" s="1859">
        <f>项目基本情况!B43</f>
        <v>0</v>
      </c>
      <c r="I59" s="1491">
        <f>SUMIF(修正!$A$45:$A$56,H59,修正!B45:B56)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560</v>
      </c>
      <c r="B60" s="630">
        <f t="shared" ref="B60:B67" si="17">ROUND($C$50*C60*D60,0)</f>
        <v>0</v>
      </c>
      <c r="C60" s="372">
        <f t="shared" si="16"/>
        <v>0</v>
      </c>
      <c r="D60" s="2106">
        <v>0.25</v>
      </c>
      <c r="E60" s="631">
        <v>0</v>
      </c>
      <c r="F60" s="628">
        <f t="shared" si="15"/>
        <v>0</v>
      </c>
      <c r="G60" s="3688"/>
      <c r="H60" s="1859">
        <f>项目基本情况!B43</f>
        <v>0</v>
      </c>
      <c r="I60" s="1491">
        <f>SUMIF(修正!$A$45:$A$56,H60,修正!C45:C56)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561</v>
      </c>
      <c r="B61" s="630">
        <f t="shared" si="17"/>
        <v>0</v>
      </c>
      <c r="C61" s="372">
        <f t="shared" si="16"/>
        <v>0</v>
      </c>
      <c r="D61" s="2106">
        <v>0.25</v>
      </c>
      <c r="E61" s="631">
        <v>0</v>
      </c>
      <c r="F61" s="628">
        <f t="shared" si="15"/>
        <v>0</v>
      </c>
      <c r="G61" s="3688"/>
      <c r="H61" s="1859">
        <f>项目基本情况!B43</f>
        <v>0</v>
      </c>
      <c r="I61" s="1491">
        <f>SUMIF(修正!$A$45:$A$56,H61,修正!D45:D56)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9" t="s">
        <v>562</v>
      </c>
      <c r="B62" s="630">
        <f t="shared" si="17"/>
        <v>0</v>
      </c>
      <c r="C62" s="372">
        <f t="shared" si="16"/>
        <v>0</v>
      </c>
      <c r="D62" s="2106">
        <v>0.25</v>
      </c>
      <c r="E62" s="631">
        <v>0</v>
      </c>
      <c r="F62" s="628">
        <f t="shared" si="15"/>
        <v>0</v>
      </c>
      <c r="G62" s="3688"/>
      <c r="H62" s="1859">
        <f>项目基本情况!B43</f>
        <v>0</v>
      </c>
      <c r="I62" s="1491">
        <f>SUMIF(修正!$A$45:$A$56,H62,修正!E45:E56)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2314</v>
      </c>
      <c r="B63" s="630">
        <f t="shared" si="17"/>
        <v>0</v>
      </c>
      <c r="C63" s="372">
        <f t="shared" si="16"/>
        <v>0</v>
      </c>
      <c r="D63" s="2106">
        <v>0.25</v>
      </c>
      <c r="E63" s="633">
        <f>'数据-汇总表'!E11</f>
        <v>0</v>
      </c>
      <c r="F63" s="628">
        <f t="shared" si="15"/>
        <v>0</v>
      </c>
      <c r="G63" s="1856" t="s">
        <v>2269</v>
      </c>
      <c r="H63" s="1859">
        <f>项目基本情况!C43</f>
        <v>0</v>
      </c>
      <c r="I63" s="1491">
        <f>SUMIF(修正!$A$45:$A$56,H63,修正!F45:F56)</f>
        <v>0</v>
      </c>
      <c r="J63" s="1492"/>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9" t="s">
        <v>563</v>
      </c>
      <c r="B64" s="630">
        <f t="shared" si="17"/>
        <v>0</v>
      </c>
      <c r="C64" s="372">
        <f t="shared" si="16"/>
        <v>0</v>
      </c>
      <c r="D64" s="2106">
        <v>0.25</v>
      </c>
      <c r="E64" s="633">
        <f>'数据-汇总表'!E12</f>
        <v>0</v>
      </c>
      <c r="F64" s="628">
        <f t="shared" si="15"/>
        <v>0</v>
      </c>
      <c r="G64" s="1857" t="s">
        <v>1667</v>
      </c>
      <c r="H64" s="1855">
        <f>IF(G64="商业",项目基本情况!B43,IF(G64="办公",项目基本情况!C43,IF(G64="住宅",项目基本情况!D43,项目基本情况!E43)))</f>
        <v>0</v>
      </c>
      <c r="I64" s="1491">
        <f>SUMIF(修正!$A$45:$A$56,H64,修正!G45:G56)</f>
        <v>0</v>
      </c>
      <c r="J64" s="1492"/>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9" t="s">
        <v>564</v>
      </c>
      <c r="B65" s="630">
        <f t="shared" si="17"/>
        <v>0</v>
      </c>
      <c r="C65" s="372">
        <f t="shared" si="16"/>
        <v>0</v>
      </c>
      <c r="D65" s="2106">
        <v>0.25</v>
      </c>
      <c r="E65" s="633">
        <f>'数据-汇总表'!E13</f>
        <v>38416.43</v>
      </c>
      <c r="F65" s="628">
        <f t="shared" si="15"/>
        <v>0</v>
      </c>
      <c r="G65" s="1857" t="s">
        <v>913</v>
      </c>
      <c r="H65" s="1855">
        <f>IF(G65="商业",项目基本情况!B43,IF(G65="办公",项目基本情况!C43,IF(G65="住宅",项目基本情况!D43,项目基本情况!E43)))</f>
        <v>0</v>
      </c>
      <c r="I65" s="1491">
        <f>SUMIF(修正!$A$45:$A$56,H65,修正!H45:H56)</f>
        <v>0</v>
      </c>
      <c r="J65" s="1492"/>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9" t="s">
        <v>565</v>
      </c>
      <c r="B66" s="630">
        <f t="shared" si="17"/>
        <v>0</v>
      </c>
      <c r="C66" s="372">
        <f t="shared" si="16"/>
        <v>0</v>
      </c>
      <c r="D66" s="2106">
        <v>0.25</v>
      </c>
      <c r="E66" s="633">
        <f>'数据-汇总表'!E14</f>
        <v>0</v>
      </c>
      <c r="F66" s="628">
        <f t="shared" si="15"/>
        <v>0</v>
      </c>
      <c r="G66" s="1856" t="s">
        <v>2268</v>
      </c>
      <c r="H66" s="1859">
        <f>项目基本情况!B43</f>
        <v>0</v>
      </c>
      <c r="I66" s="1491">
        <f>SUMIF(修正!$A$45:$A$56,H66,修正!H45:H56)</f>
        <v>0</v>
      </c>
      <c r="J66" s="1492"/>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9" t="s">
        <v>566</v>
      </c>
      <c r="B67" s="630">
        <f t="shared" si="17"/>
        <v>0</v>
      </c>
      <c r="C67" s="372">
        <f t="shared" si="16"/>
        <v>0</v>
      </c>
      <c r="D67" s="2106">
        <v>0.25</v>
      </c>
      <c r="E67" s="633">
        <f>'数据-汇总表'!E15</f>
        <v>0</v>
      </c>
      <c r="F67" s="628">
        <f t="shared" si="15"/>
        <v>0</v>
      </c>
      <c r="G67" s="1858" t="s">
        <v>2269</v>
      </c>
      <c r="H67" s="1860">
        <f>项目基本情况!C43</f>
        <v>0</v>
      </c>
      <c r="I67" s="1491">
        <f>SUMIF(修正!$A$45:$A$56,H67,修正!H45:H56)</f>
        <v>0</v>
      </c>
      <c r="J67" s="1492"/>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4" t="s">
        <v>567</v>
      </c>
      <c r="B68" s="635" t="s">
        <v>17</v>
      </c>
      <c r="C68" s="635" t="s">
        <v>18</v>
      </c>
      <c r="D68" s="635" t="s">
        <v>2280</v>
      </c>
      <c r="E68" s="635">
        <f>IF(B48="楼面地价",SUM(E58:E67),'数据-汇总表'!D3)</f>
        <v>181123.76</v>
      </c>
      <c r="F68" s="636">
        <f>IF(B48="楼面地价",SUM(F58:F67),ROUND(C50*E68/10000,0))</f>
        <v>114530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2021-6-1</v>
      </c>
      <c r="D70" s="2513">
        <f>EDATE(C70,-3)</f>
        <v>44256</v>
      </c>
      <c r="E70" s="2513">
        <f t="shared" ref="E70:N70" si="18">EDATE(D70,-3)</f>
        <v>44166</v>
      </c>
      <c r="F70" s="2513">
        <f t="shared" si="18"/>
        <v>44075</v>
      </c>
      <c r="G70" s="2513">
        <f t="shared" si="18"/>
        <v>43983</v>
      </c>
      <c r="H70" s="2513">
        <f t="shared" si="18"/>
        <v>43891</v>
      </c>
      <c r="I70" s="2513">
        <f t="shared" si="18"/>
        <v>43800</v>
      </c>
      <c r="J70" s="2513">
        <f t="shared" si="18"/>
        <v>43709</v>
      </c>
      <c r="K70" s="2513">
        <f t="shared" si="18"/>
        <v>43617</v>
      </c>
      <c r="L70" s="2513">
        <f t="shared" si="18"/>
        <v>43525</v>
      </c>
      <c r="M70" s="2513">
        <f t="shared" si="18"/>
        <v>43435</v>
      </c>
      <c r="N70" s="2513">
        <f t="shared" si="18"/>
        <v>43344</v>
      </c>
      <c r="O70" s="2024"/>
      <c r="P70" s="2024"/>
      <c r="Q70" s="2024"/>
      <c r="R70" s="2024"/>
      <c r="S70" s="2024"/>
      <c r="T70" s="2024"/>
      <c r="U70" s="2024"/>
      <c r="V70" s="2024"/>
      <c r="W70" s="2024"/>
      <c r="X70" s="2024"/>
      <c r="Y70" s="2024"/>
      <c r="Z70" s="2024"/>
      <c r="AA70" s="2024"/>
      <c r="AB70" s="2024"/>
      <c r="AC70" s="2024"/>
    </row>
    <row r="71" spans="1:29" ht="21.75" thickBot="1">
      <c r="A71" s="1515" t="s">
        <v>568</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2021-2</v>
      </c>
      <c r="D72" s="2515" t="str">
        <f>YEAR(D70)&amp;"-"&amp;ROUNDUP(MONTH(D70)/3,0)</f>
        <v>2021-1</v>
      </c>
      <c r="E72" s="2515" t="str">
        <f t="shared" ref="E72:N72" si="19">YEAR(E70)&amp;"-"&amp;ROUNDUP(MONTH(E70)/3,0)</f>
        <v>2020-4</v>
      </c>
      <c r="F72" s="2515" t="str">
        <f t="shared" si="19"/>
        <v>2020-3</v>
      </c>
      <c r="G72" s="2515" t="str">
        <f t="shared" si="19"/>
        <v>2020-2</v>
      </c>
      <c r="H72" s="2515" t="str">
        <f t="shared" si="19"/>
        <v>2020-1</v>
      </c>
      <c r="I72" s="2515" t="str">
        <f t="shared" si="19"/>
        <v>2019-4</v>
      </c>
      <c r="J72" s="2515" t="str">
        <f t="shared" si="19"/>
        <v>2019-3</v>
      </c>
      <c r="K72" s="2515" t="str">
        <f t="shared" si="19"/>
        <v>2019-2</v>
      </c>
      <c r="L72" s="2515" t="str">
        <f t="shared" si="19"/>
        <v>2019-1</v>
      </c>
      <c r="M72" s="2515" t="str">
        <f t="shared" si="19"/>
        <v>2018-4</v>
      </c>
      <c r="N72" s="2515" t="str">
        <f t="shared" si="19"/>
        <v>2018-3</v>
      </c>
      <c r="O72" s="2037"/>
      <c r="P72" s="2038"/>
      <c r="Q72" s="2039"/>
      <c r="R72" s="2039"/>
      <c r="S72" s="2039"/>
      <c r="T72" s="2039"/>
      <c r="U72" s="2039"/>
      <c r="V72" s="2039"/>
      <c r="W72" s="2039"/>
      <c r="X72" s="2039"/>
      <c r="Y72" s="2039"/>
      <c r="Z72" s="2039"/>
      <c r="AA72" s="2039"/>
      <c r="AB72" s="2039"/>
      <c r="AC72" s="2039"/>
    </row>
    <row r="73" spans="1:29" s="1201" customFormat="1" ht="27" customHeight="1">
      <c r="A73" s="2520" t="s">
        <v>3001</v>
      </c>
      <c r="B73" s="473" t="str">
        <f>"北京市平均增长率"&amp;TEXT(SUMIF(基准地价!N21:N25,A73,基准地价!P21:P25),"0.00%")</f>
        <v>北京市平均增长率0.00%</v>
      </c>
      <c r="C73" s="883">
        <v>100</v>
      </c>
      <c r="D73" s="3370">
        <f>C73-$C$74</f>
        <v>99.5</v>
      </c>
      <c r="E73" s="3370">
        <f t="shared" ref="E73:N73" si="20">D73-$C$74</f>
        <v>99</v>
      </c>
      <c r="F73" s="3370">
        <f t="shared" si="20"/>
        <v>98.5</v>
      </c>
      <c r="G73" s="3370">
        <f t="shared" si="20"/>
        <v>98</v>
      </c>
      <c r="H73" s="3370">
        <f t="shared" si="20"/>
        <v>97.5</v>
      </c>
      <c r="I73" s="3370">
        <f t="shared" si="20"/>
        <v>97</v>
      </c>
      <c r="J73" s="3370">
        <f t="shared" si="20"/>
        <v>96.5</v>
      </c>
      <c r="K73" s="3370">
        <f t="shared" si="20"/>
        <v>96</v>
      </c>
      <c r="L73" s="3370">
        <f t="shared" si="20"/>
        <v>95.5</v>
      </c>
      <c r="M73" s="3370">
        <f t="shared" si="20"/>
        <v>95</v>
      </c>
      <c r="N73" s="3370">
        <f t="shared" si="20"/>
        <v>94.5</v>
      </c>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3369">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51" t="s">
        <v>525</v>
      </c>
      <c r="B75" s="640"/>
      <c r="C75" s="652" t="s">
        <v>570</v>
      </c>
      <c r="D75" s="653"/>
      <c r="E75" s="653"/>
      <c r="F75" s="653"/>
      <c r="G75" s="653"/>
      <c r="H75" s="653"/>
      <c r="I75" s="653"/>
      <c r="J75" s="653"/>
      <c r="K75" s="653"/>
      <c r="L75" s="654"/>
      <c r="M75" s="655"/>
      <c r="N75" s="2040"/>
      <c r="O75" s="2040"/>
      <c r="P75" s="2041"/>
      <c r="Q75" s="2036"/>
      <c r="R75" s="1902"/>
      <c r="S75" s="1902"/>
      <c r="T75" s="1902"/>
      <c r="U75" s="1902"/>
      <c r="V75" s="1902"/>
      <c r="W75" s="1902"/>
      <c r="X75" s="1902"/>
      <c r="Y75" s="1902"/>
      <c r="Z75" s="1902"/>
      <c r="AA75" s="1902"/>
      <c r="AB75" s="1902"/>
      <c r="AC75" s="1902"/>
    </row>
    <row r="76" spans="1:29" s="1201" customFormat="1" ht="15.75" thickBot="1">
      <c r="A76" s="651"/>
      <c r="B76" s="640"/>
      <c r="C76" s="641">
        <v>100</v>
      </c>
      <c r="D76" s="642"/>
      <c r="E76" s="642"/>
      <c r="F76" s="642"/>
      <c r="G76" s="642"/>
      <c r="H76" s="642"/>
      <c r="I76" s="642"/>
      <c r="J76" s="642"/>
      <c r="K76" s="642"/>
      <c r="L76" s="642"/>
      <c r="M76" s="644"/>
      <c r="N76" s="2040"/>
      <c r="O76" s="2040"/>
      <c r="P76" s="2036"/>
      <c r="Q76" s="2036"/>
      <c r="R76" s="1902"/>
      <c r="S76" s="1902"/>
      <c r="T76" s="1902"/>
      <c r="U76" s="1902"/>
      <c r="V76" s="1902"/>
      <c r="W76" s="1902"/>
      <c r="X76" s="1902"/>
      <c r="Y76" s="1902"/>
      <c r="Z76" s="1902"/>
      <c r="AA76" s="1902"/>
      <c r="AB76" s="1902"/>
      <c r="AC76" s="1902"/>
    </row>
    <row r="77" spans="1:29">
      <c r="A77" s="656" t="s">
        <v>571</v>
      </c>
      <c r="B77" s="657" t="s">
        <v>528</v>
      </c>
      <c r="C77" s="3371" t="s">
        <v>3061</v>
      </c>
      <c r="D77" s="592"/>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62"/>
      <c r="C78" s="663">
        <v>100</v>
      </c>
      <c r="D78" s="663"/>
      <c r="E78" s="663"/>
      <c r="F78" s="663"/>
      <c r="G78" s="663"/>
      <c r="H78" s="663"/>
      <c r="I78" s="663"/>
      <c r="J78" s="663"/>
      <c r="K78" s="663"/>
      <c r="L78" s="663"/>
      <c r="M78" s="664"/>
      <c r="N78" s="2044"/>
      <c r="O78" s="2044"/>
      <c r="P78" s="2043"/>
      <c r="Q78" s="2036"/>
      <c r="R78" s="2024"/>
      <c r="S78" s="2024"/>
      <c r="T78" s="2024"/>
      <c r="U78" s="2024"/>
      <c r="V78" s="2024"/>
      <c r="W78" s="2024"/>
      <c r="X78" s="2024"/>
      <c r="Y78" s="2024"/>
      <c r="Z78" s="2024"/>
      <c r="AA78" s="2024"/>
      <c r="AB78" s="2024"/>
      <c r="AC78" s="2024"/>
    </row>
    <row r="79" spans="1:29" ht="27.75" thickTop="1">
      <c r="A79" s="661"/>
      <c r="B79" s="665" t="s">
        <v>531</v>
      </c>
      <c r="C79" s="666"/>
      <c r="D79" s="666"/>
      <c r="E79" s="666"/>
      <c r="F79" s="666"/>
      <c r="G79" s="666"/>
      <c r="H79" s="666"/>
      <c r="I79" s="666"/>
      <c r="J79" s="666"/>
      <c r="K79" s="667"/>
      <c r="L79" s="668"/>
      <c r="M79" s="669"/>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c r="D80" s="671"/>
      <c r="E80" s="671"/>
      <c r="F80" s="671"/>
      <c r="G80" s="671"/>
      <c r="H80" s="671"/>
      <c r="I80" s="671"/>
      <c r="J80" s="671"/>
      <c r="K80" s="671"/>
      <c r="L80" s="671"/>
      <c r="M80" s="672"/>
      <c r="N80" s="2044"/>
      <c r="O80" s="2044"/>
      <c r="P80" s="2043"/>
      <c r="Q80" s="2036"/>
      <c r="R80" s="2024"/>
      <c r="S80" s="2024"/>
      <c r="T80" s="2024"/>
      <c r="U80" s="2024"/>
      <c r="V80" s="2024"/>
      <c r="W80" s="2024"/>
      <c r="X80" s="2024"/>
      <c r="Y80" s="2024"/>
      <c r="Z80" s="2024"/>
      <c r="AA80" s="2024"/>
      <c r="AB80" s="2024"/>
      <c r="AC80" s="2024"/>
    </row>
    <row r="81" spans="1:29" ht="15.75" thickTop="1">
      <c r="A81" s="661"/>
      <c r="B81" s="673" t="s">
        <v>532</v>
      </c>
      <c r="C81" s="674" t="str">
        <f>C82&amp;"（含）"&amp;"-"&amp;D82</f>
        <v>0（含）-2</v>
      </c>
      <c r="D81" s="674" t="str">
        <f t="shared" ref="D81:L81" si="21">D82&amp;"（含）"&amp;"-"&amp;E82</f>
        <v>2（含）-4</v>
      </c>
      <c r="E81" s="674" t="str">
        <f t="shared" si="21"/>
        <v>4（含）-6</v>
      </c>
      <c r="F81" s="674" t="str">
        <f t="shared" si="21"/>
        <v>6（含）-8</v>
      </c>
      <c r="G81" s="674" t="str">
        <f t="shared" si="21"/>
        <v>8（含）-</v>
      </c>
      <c r="H81" s="674" t="str">
        <f t="shared" si="21"/>
        <v>（含）-</v>
      </c>
      <c r="I81" s="674" t="str">
        <f t="shared" si="21"/>
        <v>（含）-</v>
      </c>
      <c r="J81" s="674" t="str">
        <f t="shared" si="21"/>
        <v>（含）-</v>
      </c>
      <c r="K81" s="674" t="str">
        <f t="shared" si="21"/>
        <v>（含）-</v>
      </c>
      <c r="L81" s="674" t="str">
        <f t="shared" si="21"/>
        <v>（含）-</v>
      </c>
      <c r="M81" s="549"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1"/>
      <c r="B82" s="675"/>
      <c r="C82" s="535">
        <v>0</v>
      </c>
      <c r="D82" s="535">
        <v>2</v>
      </c>
      <c r="E82" s="535">
        <v>4</v>
      </c>
      <c r="F82" s="535">
        <v>6</v>
      </c>
      <c r="G82" s="535">
        <v>8</v>
      </c>
      <c r="H82" s="535"/>
      <c r="I82" s="535"/>
      <c r="J82" s="535"/>
      <c r="K82" s="676"/>
      <c r="L82" s="677"/>
      <c r="M82" s="678"/>
      <c r="N82" s="2042"/>
      <c r="O82" s="2042"/>
      <c r="P82" s="2043"/>
      <c r="Q82" s="2036"/>
      <c r="R82" s="2024"/>
      <c r="S82" s="2024"/>
      <c r="T82" s="2024"/>
      <c r="U82" s="2024"/>
      <c r="V82" s="2024"/>
      <c r="W82" s="2024"/>
      <c r="X82" s="2024"/>
      <c r="Y82" s="2024"/>
      <c r="Z82" s="2024"/>
      <c r="AA82" s="2024"/>
      <c r="AB82" s="2024"/>
      <c r="AC82" s="2024"/>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9"/>
      <c r="B84" s="665" t="str">
        <f>B14</f>
        <v>配建</v>
      </c>
      <c r="C84" s="680"/>
      <c r="D84" s="1324"/>
      <c r="E84" s="1325"/>
      <c r="F84" s="680"/>
      <c r="G84" s="680"/>
      <c r="H84" s="681"/>
      <c r="I84" s="681"/>
      <c r="J84" s="681"/>
      <c r="K84" s="681"/>
      <c r="L84" s="682"/>
      <c r="M84" s="683"/>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9"/>
      <c r="B86" s="665" t="str">
        <f>B15</f>
        <v>自持</v>
      </c>
      <c r="C86" s="680"/>
      <c r="D86" s="680"/>
      <c r="E86" s="680"/>
      <c r="F86" s="680"/>
      <c r="G86" s="680"/>
      <c r="H86" s="681"/>
      <c r="I86" s="681"/>
      <c r="J86" s="681"/>
      <c r="K86" s="681"/>
      <c r="L86" s="682"/>
      <c r="M86" s="683"/>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9"/>
      <c r="B87" s="670"/>
      <c r="C87" s="684"/>
      <c r="D87" s="684"/>
      <c r="E87" s="684"/>
      <c r="F87" s="684"/>
      <c r="G87" s="684"/>
      <c r="H87" s="685"/>
      <c r="I87" s="685"/>
      <c r="J87" s="685"/>
      <c r="K87" s="685"/>
      <c r="L87" s="685"/>
      <c r="M87" s="686"/>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9"/>
      <c r="B88" s="673">
        <f>B16</f>
        <v>111</v>
      </c>
      <c r="C88" s="653"/>
      <c r="D88" s="653"/>
      <c r="E88" s="653"/>
      <c r="F88" s="653"/>
      <c r="G88" s="653"/>
      <c r="H88" s="687"/>
      <c r="I88" s="687"/>
      <c r="J88" s="687"/>
      <c r="K88" s="687"/>
      <c r="L88" s="688"/>
      <c r="M88" s="689"/>
      <c r="N88" s="2045"/>
      <c r="O88" s="2045"/>
      <c r="P88" s="2051"/>
      <c r="Q88" s="2047"/>
      <c r="R88" s="2048"/>
      <c r="S88" s="2048"/>
      <c r="T88" s="2048"/>
      <c r="U88" s="2048"/>
      <c r="V88" s="2048"/>
      <c r="W88" s="2048"/>
      <c r="X88" s="2048"/>
      <c r="Y88" s="2048"/>
      <c r="Z88" s="2048"/>
      <c r="AA88" s="2048"/>
      <c r="AB88" s="2048"/>
      <c r="AC88" s="2048"/>
    </row>
    <row r="89" spans="1:29" s="1291" customFormat="1" ht="15.75" thickBot="1">
      <c r="A89" s="690"/>
      <c r="B89" s="691"/>
      <c r="C89" s="692"/>
      <c r="D89" s="692"/>
      <c r="E89" s="692"/>
      <c r="F89" s="692"/>
      <c r="G89" s="692"/>
      <c r="H89" s="693"/>
      <c r="I89" s="693"/>
      <c r="J89" s="693"/>
      <c r="K89" s="693"/>
      <c r="L89" s="693"/>
      <c r="M89" s="694"/>
      <c r="N89" s="2045"/>
      <c r="O89" s="2045"/>
      <c r="P89" s="2046"/>
      <c r="Q89" s="2047"/>
      <c r="R89" s="2048"/>
      <c r="S89" s="2048"/>
      <c r="T89" s="2048"/>
      <c r="U89" s="2048"/>
      <c r="V89" s="2048"/>
      <c r="W89" s="2048"/>
      <c r="X89" s="2048"/>
      <c r="Y89" s="2048"/>
      <c r="Z89" s="2048"/>
      <c r="AA89" s="2048"/>
      <c r="AB89" s="2048"/>
      <c r="AC89" s="2048"/>
    </row>
    <row r="90" spans="1:29">
      <c r="A90" s="656" t="s">
        <v>533</v>
      </c>
      <c r="B90" s="657" t="s">
        <v>572</v>
      </c>
      <c r="C90" s="695" t="s">
        <v>573</v>
      </c>
      <c r="D90" s="695" t="s">
        <v>574</v>
      </c>
      <c r="E90" s="695" t="s">
        <v>575</v>
      </c>
      <c r="F90" s="695" t="s">
        <v>576</v>
      </c>
      <c r="G90" s="695" t="s">
        <v>577</v>
      </c>
      <c r="H90" s="696"/>
      <c r="I90" s="696"/>
      <c r="J90" s="696"/>
      <c r="K90" s="697"/>
      <c r="L90" s="698"/>
      <c r="M90" s="699"/>
      <c r="N90" s="2042"/>
      <c r="O90" s="2042"/>
      <c r="P90" s="2052"/>
      <c r="Q90" s="2036"/>
      <c r="R90" s="2024"/>
      <c r="S90" s="2024"/>
      <c r="T90" s="2024"/>
      <c r="U90" s="2024"/>
      <c r="V90" s="2024"/>
      <c r="W90" s="2024"/>
      <c r="X90" s="2024"/>
      <c r="Y90" s="2024"/>
      <c r="Z90" s="2024"/>
      <c r="AA90" s="2024"/>
      <c r="AB90" s="2024"/>
      <c r="AC90" s="2024"/>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4"/>
      <c r="O91" s="2044"/>
      <c r="P91" s="2043"/>
      <c r="Q91" s="2036"/>
      <c r="R91" s="2024"/>
      <c r="S91" s="2024"/>
      <c r="T91" s="2024"/>
      <c r="U91" s="2024"/>
      <c r="V91" s="2024"/>
      <c r="W91" s="2024"/>
      <c r="X91" s="2024"/>
      <c r="Y91" s="2024"/>
      <c r="Z91" s="2024"/>
      <c r="AA91" s="2024"/>
      <c r="AB91" s="2024"/>
      <c r="AC91" s="2024"/>
    </row>
    <row r="92" spans="1:29" ht="15.75" thickTop="1">
      <c r="A92" s="661"/>
      <c r="B92" s="665" t="s">
        <v>578</v>
      </c>
      <c r="C92" s="700" t="s">
        <v>573</v>
      </c>
      <c r="D92" s="700" t="s">
        <v>574</v>
      </c>
      <c r="E92" s="700" t="s">
        <v>575</v>
      </c>
      <c r="F92" s="700" t="s">
        <v>576</v>
      </c>
      <c r="G92" s="700" t="s">
        <v>577</v>
      </c>
      <c r="H92" s="666"/>
      <c r="I92" s="666"/>
      <c r="J92" s="666"/>
      <c r="K92" s="667"/>
      <c r="L92" s="668"/>
      <c r="M92" s="669"/>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71">
        <v>100</v>
      </c>
      <c r="D93" s="671">
        <f>C93-$K19</f>
        <v>98</v>
      </c>
      <c r="E93" s="671">
        <f>D93-$K19</f>
        <v>96</v>
      </c>
      <c r="F93" s="671">
        <f>E93-$K19</f>
        <v>94</v>
      </c>
      <c r="G93" s="671">
        <f>F93-$K19</f>
        <v>92</v>
      </c>
      <c r="H93" s="671"/>
      <c r="I93" s="671"/>
      <c r="J93" s="671"/>
      <c r="K93" s="671"/>
      <c r="L93" s="671"/>
      <c r="M93" s="672"/>
      <c r="N93" s="2044"/>
      <c r="O93" s="2044"/>
      <c r="P93" s="2043"/>
      <c r="Q93" s="2036"/>
      <c r="R93" s="2024"/>
      <c r="S93" s="2024"/>
      <c r="T93" s="2024"/>
      <c r="U93" s="2024"/>
      <c r="V93" s="2024"/>
      <c r="W93" s="2024"/>
      <c r="X93" s="2024"/>
      <c r="Y93" s="2024"/>
      <c r="Z93" s="2024"/>
      <c r="AA93" s="2024"/>
      <c r="AB93" s="2024"/>
      <c r="AC93" s="2024"/>
    </row>
    <row r="94" spans="1:29" ht="15.75" thickTop="1">
      <c r="A94" s="661"/>
      <c r="B94" s="665" t="s">
        <v>579</v>
      </c>
      <c r="C94" s="700" t="s">
        <v>573</v>
      </c>
      <c r="D94" s="700" t="s">
        <v>574</v>
      </c>
      <c r="E94" s="700" t="s">
        <v>575</v>
      </c>
      <c r="F94" s="700" t="s">
        <v>576</v>
      </c>
      <c r="G94" s="700" t="s">
        <v>577</v>
      </c>
      <c r="H94" s="666"/>
      <c r="I94" s="666"/>
      <c r="J94" s="666"/>
      <c r="K94" s="667"/>
      <c r="L94" s="668"/>
      <c r="M94" s="669"/>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71">
        <v>100</v>
      </c>
      <c r="D95" s="671">
        <f>C95-$K21</f>
        <v>98</v>
      </c>
      <c r="E95" s="671">
        <f>D95-$K21</f>
        <v>96</v>
      </c>
      <c r="F95" s="671">
        <f>E95-$K21</f>
        <v>94</v>
      </c>
      <c r="G95" s="671">
        <f>F95-$K21</f>
        <v>92</v>
      </c>
      <c r="H95" s="671"/>
      <c r="I95" s="671"/>
      <c r="J95" s="671"/>
      <c r="K95" s="671"/>
      <c r="L95" s="671"/>
      <c r="M95" s="672"/>
      <c r="N95" s="2044"/>
      <c r="O95" s="2044"/>
      <c r="P95" s="2043"/>
      <c r="Q95" s="2036"/>
      <c r="R95" s="2024"/>
      <c r="S95" s="2024"/>
      <c r="T95" s="2024"/>
      <c r="U95" s="2024"/>
      <c r="V95" s="2024"/>
      <c r="W95" s="2024"/>
      <c r="X95" s="2024"/>
      <c r="Y95" s="2024"/>
      <c r="Z95" s="2024"/>
      <c r="AA95" s="2024"/>
      <c r="AB95" s="2024"/>
      <c r="AC95" s="2024"/>
    </row>
    <row r="96" spans="1:29" ht="15.75" thickTop="1">
      <c r="A96" s="661"/>
      <c r="B96" s="665" t="s">
        <v>580</v>
      </c>
      <c r="C96" s="700" t="s">
        <v>573</v>
      </c>
      <c r="D96" s="700" t="s">
        <v>574</v>
      </c>
      <c r="E96" s="700" t="s">
        <v>575</v>
      </c>
      <c r="F96" s="700" t="s">
        <v>576</v>
      </c>
      <c r="G96" s="700" t="s">
        <v>577</v>
      </c>
      <c r="H96" s="666"/>
      <c r="I96" s="666"/>
      <c r="J96" s="666"/>
      <c r="K96" s="667"/>
      <c r="L96" s="668"/>
      <c r="M96" s="669"/>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71">
        <v>100</v>
      </c>
      <c r="D97" s="671">
        <f>C97-$K23</f>
        <v>98</v>
      </c>
      <c r="E97" s="671">
        <f>D97-$K23</f>
        <v>96</v>
      </c>
      <c r="F97" s="671">
        <f>E97-$K23</f>
        <v>94</v>
      </c>
      <c r="G97" s="671">
        <f>F97-$K23</f>
        <v>92</v>
      </c>
      <c r="H97" s="671"/>
      <c r="I97" s="671"/>
      <c r="J97" s="671"/>
      <c r="K97" s="671"/>
      <c r="L97" s="671"/>
      <c r="M97" s="672"/>
      <c r="N97" s="2044"/>
      <c r="O97" s="2044"/>
      <c r="P97" s="2043"/>
      <c r="Q97" s="2036"/>
      <c r="R97" s="2024"/>
      <c r="S97" s="2024"/>
      <c r="T97" s="2024"/>
      <c r="U97" s="2024"/>
      <c r="V97" s="2024"/>
      <c r="W97" s="2024"/>
      <c r="X97" s="2024"/>
      <c r="Y97" s="2024"/>
      <c r="Z97" s="2024"/>
      <c r="AA97" s="2024"/>
      <c r="AB97" s="2024"/>
      <c r="AC97" s="2024"/>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0"/>
      <c r="O98" s="2040"/>
      <c r="P98" s="2043"/>
      <c r="Q98" s="2036"/>
      <c r="R98" s="1902"/>
      <c r="S98" s="1902"/>
      <c r="T98" s="1902"/>
      <c r="U98" s="1902"/>
      <c r="V98" s="1902"/>
      <c r="W98" s="1902"/>
      <c r="X98" s="1902"/>
      <c r="Y98" s="1902"/>
      <c r="Z98" s="1902"/>
      <c r="AA98" s="1902"/>
      <c r="AB98" s="1902"/>
      <c r="AC98" s="1902"/>
    </row>
    <row r="99" spans="1:29" s="1201" customFormat="1" ht="15.75" thickBot="1">
      <c r="A99" s="701"/>
      <c r="B99" s="670"/>
      <c r="C99" s="704">
        <v>100</v>
      </c>
      <c r="D99" s="671">
        <f>C99-$K25</f>
        <v>98</v>
      </c>
      <c r="E99" s="671">
        <f>D99-$K25</f>
        <v>96</v>
      </c>
      <c r="F99" s="671">
        <f>E99-$K25</f>
        <v>94</v>
      </c>
      <c r="G99" s="671">
        <f>F99-$K25</f>
        <v>92</v>
      </c>
      <c r="H99" s="671"/>
      <c r="I99" s="671"/>
      <c r="J99" s="671"/>
      <c r="K99" s="671"/>
      <c r="L99" s="671"/>
      <c r="M99" s="672"/>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9"/>
      <c r="B102" s="1807" t="s">
        <v>2527</v>
      </c>
      <c r="C102" s="695" t="s">
        <v>573</v>
      </c>
      <c r="D102" s="695" t="s">
        <v>574</v>
      </c>
      <c r="E102" s="695" t="s">
        <v>575</v>
      </c>
      <c r="F102" s="695" t="s">
        <v>576</v>
      </c>
      <c r="G102" s="695" t="s">
        <v>577</v>
      </c>
      <c r="H102" s="705"/>
      <c r="I102" s="705"/>
      <c r="J102" s="705"/>
      <c r="K102" s="705"/>
      <c r="L102" s="706"/>
      <c r="M102" s="707"/>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9"/>
      <c r="B104" s="2438" t="s">
        <v>2529</v>
      </c>
      <c r="C104" s="2439" t="s">
        <v>2530</v>
      </c>
      <c r="D104" s="2439" t="s">
        <v>2531</v>
      </c>
      <c r="E104" s="2439" t="s">
        <v>2532</v>
      </c>
      <c r="F104" s="2439" t="s">
        <v>2533</v>
      </c>
      <c r="G104" s="2439" t="s">
        <v>2534</v>
      </c>
      <c r="H104" s="705"/>
      <c r="I104" s="705"/>
      <c r="J104" s="705"/>
      <c r="K104" s="705"/>
      <c r="L104" s="705"/>
      <c r="M104" s="707"/>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2"/>
      <c r="O106" s="2042"/>
      <c r="P106" s="2043"/>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1"/>
      <c r="B108" s="665" t="s">
        <v>542</v>
      </c>
      <c r="C108" s="3374" t="s">
        <v>3208</v>
      </c>
      <c r="D108" s="3374" t="s">
        <v>3209</v>
      </c>
      <c r="E108" s="3374" t="s">
        <v>3210</v>
      </c>
      <c r="F108" s="3374" t="s">
        <v>3212</v>
      </c>
      <c r="G108" s="3374" t="s">
        <v>3213</v>
      </c>
      <c r="H108" s="710"/>
      <c r="I108" s="710"/>
      <c r="J108" s="710"/>
      <c r="K108" s="711"/>
      <c r="L108" s="712"/>
      <c r="M108" s="713"/>
      <c r="N108" s="2042"/>
      <c r="O108" s="2042"/>
      <c r="P108" s="2043"/>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1"/>
      <c r="B110" s="665" t="s">
        <v>543</v>
      </c>
      <c r="C110" s="710"/>
      <c r="D110" s="710"/>
      <c r="E110" s="710"/>
      <c r="F110" s="710"/>
      <c r="G110" s="710"/>
      <c r="H110" s="710"/>
      <c r="I110" s="710"/>
      <c r="J110" s="710"/>
      <c r="K110" s="711"/>
      <c r="L110" s="712"/>
      <c r="M110" s="71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1"/>
      <c r="B112" s="673">
        <f>B37</f>
        <v>111</v>
      </c>
      <c r="C112" s="680"/>
      <c r="D112" s="680"/>
      <c r="E112" s="680"/>
      <c r="F112" s="680"/>
      <c r="G112" s="714"/>
      <c r="H112" s="714"/>
      <c r="I112" s="714"/>
      <c r="J112" s="714"/>
      <c r="K112" s="715"/>
      <c r="L112" s="716"/>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661"/>
      <c r="B113" s="691"/>
      <c r="C113" s="684"/>
      <c r="D113" s="684"/>
      <c r="E113" s="684"/>
      <c r="F113" s="684"/>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ht="15" thickTop="1">
      <c r="A114" s="581"/>
      <c r="B114" s="665">
        <f>B38</f>
        <v>111</v>
      </c>
      <c r="C114" s="653"/>
      <c r="D114" s="653"/>
      <c r="E114" s="653"/>
      <c r="F114" s="653"/>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92"/>
      <c r="D115" s="692"/>
      <c r="E115" s="692"/>
      <c r="F115" s="692"/>
      <c r="G115" s="663"/>
      <c r="H115" s="663"/>
      <c r="I115" s="663"/>
      <c r="J115" s="663"/>
      <c r="K115" s="663"/>
      <c r="L115" s="663"/>
      <c r="M115" s="664"/>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20"/>
      <c r="B116" s="721">
        <f>B39</f>
        <v>111</v>
      </c>
      <c r="C116" s="722"/>
      <c r="D116" s="722"/>
      <c r="E116" s="722"/>
      <c r="F116" s="722"/>
      <c r="G116" s="722"/>
      <c r="H116" s="722"/>
      <c r="I116" s="722"/>
      <c r="J116" s="723"/>
      <c r="K116" s="723"/>
      <c r="L116" s="724"/>
      <c r="M116" s="725"/>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9"/>
      <c r="B117" s="673"/>
      <c r="C117" s="642"/>
      <c r="D117" s="586"/>
      <c r="E117" s="586"/>
      <c r="F117" s="586"/>
      <c r="G117" s="586"/>
      <c r="H117" s="586"/>
      <c r="I117" s="586"/>
      <c r="J117" s="586"/>
      <c r="K117" s="586"/>
      <c r="L117" s="586"/>
      <c r="M117" s="726"/>
      <c r="N117" s="2044"/>
      <c r="O117" s="2044"/>
      <c r="P117" s="2046"/>
      <c r="Q117" s="2047"/>
      <c r="R117" s="2048"/>
      <c r="S117" s="2048"/>
      <c r="T117" s="2048"/>
      <c r="U117" s="2048"/>
      <c r="V117" s="2048"/>
      <c r="W117" s="2048"/>
      <c r="X117" s="2048"/>
      <c r="Y117" s="2048"/>
      <c r="Z117" s="2048"/>
      <c r="AA117" s="2048"/>
      <c r="AB117" s="2048"/>
      <c r="AC117" s="2048"/>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7" t="str">
        <f t="shared" si="26"/>
        <v>(含)-</v>
      </c>
      <c r="K118" s="2777" t="str">
        <f t="shared" si="26"/>
        <v>(含)-</v>
      </c>
      <c r="L118" s="2778" t="str">
        <f t="shared" si="26"/>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1"/>
      <c r="B119" s="673"/>
      <c r="C119" s="722">
        <v>0</v>
      </c>
      <c r="D119" s="722">
        <v>20000</v>
      </c>
      <c r="E119" s="722">
        <v>40000</v>
      </c>
      <c r="F119" s="722">
        <v>60000</v>
      </c>
      <c r="G119" s="722">
        <v>80000</v>
      </c>
      <c r="H119" s="722"/>
      <c r="I119" s="722"/>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1"/>
      <c r="B120" s="670"/>
      <c r="C120" s="692">
        <v>100</v>
      </c>
      <c r="D120" s="718">
        <v>101</v>
      </c>
      <c r="E120" s="718">
        <v>102</v>
      </c>
      <c r="F120" s="718">
        <v>103</v>
      </c>
      <c r="G120" s="718">
        <v>104</v>
      </c>
      <c r="H120" s="718"/>
      <c r="I120" s="718"/>
      <c r="J120" s="718"/>
      <c r="K120" s="718"/>
      <c r="L120" s="718"/>
      <c r="M120" s="719"/>
      <c r="N120" s="2044"/>
      <c r="O120" s="2044"/>
      <c r="P120" s="2043"/>
      <c r="Q120" s="2036"/>
      <c r="R120" s="2024"/>
      <c r="S120" s="2024"/>
      <c r="T120" s="2024"/>
      <c r="U120" s="2024"/>
      <c r="V120" s="2024"/>
      <c r="W120" s="2024"/>
      <c r="X120" s="2024"/>
      <c r="Y120" s="2024"/>
      <c r="Z120" s="2024"/>
      <c r="AA120" s="2024"/>
      <c r="AB120" s="2024"/>
      <c r="AC120" s="2024"/>
    </row>
    <row r="121" spans="1:29" ht="15" thickTop="1">
      <c r="A121" s="727"/>
      <c r="B121" s="665" t="s">
        <v>588</v>
      </c>
      <c r="C121" s="3373" t="s">
        <v>3065</v>
      </c>
      <c r="D121" s="710"/>
      <c r="E121" s="710"/>
      <c r="F121" s="710"/>
      <c r="G121" s="710"/>
      <c r="H121" s="710"/>
      <c r="I121" s="710"/>
      <c r="J121" s="710"/>
      <c r="K121" s="711"/>
      <c r="L121" s="712"/>
      <c r="M121" s="713"/>
      <c r="N121" s="2042"/>
      <c r="O121" s="2042"/>
      <c r="P121" s="2043"/>
      <c r="Q121" s="2036"/>
      <c r="R121" s="2024"/>
      <c r="S121" s="2024"/>
      <c r="T121" s="2024"/>
      <c r="U121" s="2024"/>
      <c r="V121" s="2024"/>
      <c r="W121" s="2024"/>
      <c r="X121" s="2024"/>
      <c r="Y121" s="2024"/>
      <c r="Z121" s="2024"/>
      <c r="AA121" s="2024"/>
      <c r="AB121" s="2024"/>
      <c r="AC121" s="2024"/>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7"/>
      <c r="B123" s="665" t="s">
        <v>589</v>
      </c>
      <c r="C123" s="3374" t="s">
        <v>3067</v>
      </c>
      <c r="D123" s="680"/>
      <c r="E123" s="680"/>
      <c r="F123" s="710"/>
      <c r="G123" s="710"/>
      <c r="H123" s="710"/>
      <c r="I123" s="710"/>
      <c r="J123" s="710"/>
      <c r="K123" s="711"/>
      <c r="L123" s="712"/>
      <c r="M123" s="713"/>
      <c r="N123" s="2042"/>
      <c r="O123" s="2042"/>
      <c r="P123" s="2043"/>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28">C124-$K42</f>
        <v>99</v>
      </c>
      <c r="E124" s="671">
        <f t="shared" si="28"/>
        <v>98</v>
      </c>
      <c r="F124" s="671">
        <f t="shared" si="28"/>
        <v>97</v>
      </c>
      <c r="G124" s="671">
        <f t="shared" si="28"/>
        <v>96</v>
      </c>
      <c r="H124" s="671">
        <f t="shared" si="28"/>
        <v>95</v>
      </c>
      <c r="I124" s="671">
        <f t="shared" si="28"/>
        <v>94</v>
      </c>
      <c r="J124" s="671">
        <f t="shared" si="28"/>
        <v>93</v>
      </c>
      <c r="K124" s="671">
        <f t="shared" si="28"/>
        <v>92</v>
      </c>
      <c r="L124" s="671">
        <f t="shared" si="28"/>
        <v>91</v>
      </c>
      <c r="M124" s="672">
        <f t="shared" si="28"/>
        <v>90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20"/>
      <c r="B125" s="1807" t="s">
        <v>2408</v>
      </c>
      <c r="C125" s="1324" t="s">
        <v>3068</v>
      </c>
      <c r="D125" s="1324" t="s">
        <v>3070</v>
      </c>
      <c r="E125" s="1324" t="s">
        <v>3071</v>
      </c>
      <c r="F125" s="1324" t="s">
        <v>3072</v>
      </c>
      <c r="G125" s="1324" t="s">
        <v>3073</v>
      </c>
      <c r="H125" s="710"/>
      <c r="I125" s="710"/>
      <c r="J125" s="710"/>
      <c r="K125" s="711"/>
      <c r="L125" s="712"/>
      <c r="M125" s="713"/>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7"/>
      <c r="B127" s="665" t="s">
        <v>590</v>
      </c>
      <c r="C127" s="3374" t="s">
        <v>3075</v>
      </c>
      <c r="D127" s="680"/>
      <c r="E127" s="710"/>
      <c r="F127" s="710"/>
      <c r="G127" s="710"/>
      <c r="H127" s="710"/>
      <c r="I127" s="710"/>
      <c r="J127" s="710"/>
      <c r="K127" s="711"/>
      <c r="L127" s="712"/>
      <c r="M127" s="713"/>
      <c r="N127" s="2042"/>
      <c r="O127" s="2042"/>
      <c r="P127" s="2043"/>
      <c r="Q127" s="2036"/>
      <c r="R127" s="2024"/>
      <c r="S127" s="2024"/>
      <c r="T127" s="2024"/>
      <c r="U127" s="2024"/>
      <c r="V127" s="2024"/>
      <c r="W127" s="2024"/>
      <c r="X127" s="2024"/>
      <c r="Y127" s="2024"/>
      <c r="Z127" s="2024"/>
      <c r="AA127" s="2024"/>
      <c r="AB127" s="2024"/>
      <c r="AC127" s="2024"/>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7"/>
      <c r="B129" s="665">
        <f>B45</f>
        <v>111</v>
      </c>
      <c r="C129" s="680"/>
      <c r="D129" s="680"/>
      <c r="E129" s="680"/>
      <c r="F129" s="680"/>
      <c r="G129" s="680"/>
      <c r="H129" s="710"/>
      <c r="I129" s="710"/>
      <c r="J129" s="710"/>
      <c r="K129" s="711"/>
      <c r="L129" s="712"/>
      <c r="M129" s="713"/>
      <c r="N129" s="2042"/>
      <c r="O129" s="2042"/>
      <c r="P129" s="2043"/>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43"/>
      <c r="Q130" s="2036"/>
      <c r="R130" s="2024"/>
      <c r="S130" s="2024"/>
      <c r="T130" s="2024"/>
      <c r="U130" s="2024"/>
      <c r="V130" s="2024"/>
      <c r="W130" s="2024"/>
      <c r="X130" s="2024"/>
      <c r="Y130" s="2024"/>
      <c r="Z130" s="2024"/>
      <c r="AA130" s="2024"/>
      <c r="AB130" s="2024"/>
      <c r="AC130" s="2024"/>
    </row>
    <row r="131" spans="1:29" ht="15" thickTop="1">
      <c r="A131" s="727"/>
      <c r="B131" s="665">
        <f>B46</f>
        <v>111</v>
      </c>
      <c r="C131" s="653"/>
      <c r="D131" s="653"/>
      <c r="E131" s="653"/>
      <c r="F131" s="653"/>
      <c r="G131" s="710"/>
      <c r="H131" s="710"/>
      <c r="I131" s="710"/>
      <c r="J131" s="710"/>
      <c r="K131" s="711"/>
      <c r="L131" s="712"/>
      <c r="M131" s="713"/>
      <c r="N131" s="2042"/>
      <c r="O131" s="2042"/>
      <c r="P131" s="2043"/>
      <c r="Q131" s="2036"/>
      <c r="R131" s="2024"/>
      <c r="S131" s="2024"/>
      <c r="T131" s="2024"/>
      <c r="U131" s="2024"/>
      <c r="V131" s="2024"/>
      <c r="W131" s="2024"/>
      <c r="X131" s="2024"/>
      <c r="Y131" s="2024"/>
      <c r="Z131" s="2024"/>
      <c r="AA131" s="2024"/>
      <c r="AB131" s="2024"/>
      <c r="AC131" s="2024"/>
    </row>
    <row r="132" spans="1:29" ht="15.75" thickBot="1">
      <c r="A132" s="661"/>
      <c r="B132" s="670"/>
      <c r="C132" s="692"/>
      <c r="D132" s="692"/>
      <c r="E132" s="692"/>
      <c r="F132" s="692"/>
      <c r="G132" s="663"/>
      <c r="H132" s="663"/>
      <c r="I132" s="663"/>
      <c r="J132" s="663"/>
      <c r="K132" s="663"/>
      <c r="L132" s="663"/>
      <c r="M132" s="664"/>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20"/>
      <c r="B133" s="665">
        <f>B47</f>
        <v>111</v>
      </c>
      <c r="C133" s="653"/>
      <c r="D133" s="653"/>
      <c r="E133" s="653"/>
      <c r="F133" s="653"/>
      <c r="G133" s="681"/>
      <c r="H133" s="681"/>
      <c r="I133" s="681"/>
      <c r="J133" s="681"/>
      <c r="K133" s="681"/>
      <c r="L133" s="682"/>
      <c r="M133" s="683"/>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90"/>
      <c r="B134" s="728"/>
      <c r="C134" s="692"/>
      <c r="D134" s="692"/>
      <c r="E134" s="692"/>
      <c r="F134" s="692"/>
      <c r="G134" s="718"/>
      <c r="H134" s="718"/>
      <c r="I134" s="718"/>
      <c r="J134" s="718"/>
      <c r="K134" s="718"/>
      <c r="L134" s="718"/>
      <c r="M134" s="719"/>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2" priority="18" stopIfTrue="1" operator="containsText" text="超过">
      <formula>NOT(ISERROR(SEARCH("超过",F53)))</formula>
    </cfRule>
  </conditionalFormatting>
  <conditionalFormatting sqref="J55">
    <cfRule type="containsText" dxfId="201" priority="17" stopIfTrue="1" operator="containsText" text="超过">
      <formula>NOT(ISERROR(SEARCH("超过",J55)))</formula>
    </cfRule>
  </conditionalFormatting>
  <conditionalFormatting sqref="H55">
    <cfRule type="containsText" dxfId="200" priority="16" stopIfTrue="1" operator="containsText" text="超过">
      <formula>NOT(ISERROR(SEARCH("超过",H55)))</formula>
    </cfRule>
  </conditionalFormatting>
  <conditionalFormatting sqref="F55">
    <cfRule type="containsText" dxfId="199" priority="15" stopIfTrue="1" operator="containsText" text="超过">
      <formula>NOT(ISERROR(SEARCH("超过",F55)))</formula>
    </cfRule>
  </conditionalFormatting>
  <conditionalFormatting sqref="F54 H54 J54">
    <cfRule type="containsText" dxfId="198" priority="14" stopIfTrue="1" operator="containsText" text="超过">
      <formula>NOT(ISERROR(SEARCH("超过",F54)))</formula>
    </cfRule>
  </conditionalFormatting>
  <conditionalFormatting sqref="E53">
    <cfRule type="expression" dxfId="197" priority="13" stopIfTrue="1">
      <formula>$F$53="超过30%"</formula>
    </cfRule>
  </conditionalFormatting>
  <conditionalFormatting sqref="G55">
    <cfRule type="expression" dxfId="196" priority="12" stopIfTrue="1">
      <formula>$H$55="超过30%"</formula>
    </cfRule>
  </conditionalFormatting>
  <conditionalFormatting sqref="E54">
    <cfRule type="expression" dxfId="195" priority="11" stopIfTrue="1">
      <formula>$F$54="超过20%"</formula>
    </cfRule>
  </conditionalFormatting>
  <conditionalFormatting sqref="E55">
    <cfRule type="expression" dxfId="194" priority="10" stopIfTrue="1">
      <formula>$F$55="超过30%"</formula>
    </cfRule>
  </conditionalFormatting>
  <conditionalFormatting sqref="G53">
    <cfRule type="expression" dxfId="193" priority="9" stopIfTrue="1">
      <formula>$H$55+$H$53="超过30%"</formula>
    </cfRule>
  </conditionalFormatting>
  <conditionalFormatting sqref="G54">
    <cfRule type="expression" dxfId="192" priority="8" stopIfTrue="1">
      <formula>$H$54="超过20%"</formula>
    </cfRule>
  </conditionalFormatting>
  <conditionalFormatting sqref="I53">
    <cfRule type="expression" dxfId="191" priority="7" stopIfTrue="1">
      <formula>$J$53="超过30%"</formula>
    </cfRule>
  </conditionalFormatting>
  <conditionalFormatting sqref="I54">
    <cfRule type="expression" dxfId="190" priority="6" stopIfTrue="1">
      <formula>$J$54="超过20%"</formula>
    </cfRule>
  </conditionalFormatting>
  <conditionalFormatting sqref="I55">
    <cfRule type="expression" dxfId="189" priority="5" stopIfTrue="1">
      <formula>$J$55="超过30%"</formula>
    </cfRule>
  </conditionalFormatting>
  <conditionalFormatting sqref="F49">
    <cfRule type="expression" dxfId="188" priority="4">
      <formula>$D$49="简单平均"</formula>
    </cfRule>
  </conditionalFormatting>
  <conditionalFormatting sqref="H49">
    <cfRule type="expression" dxfId="187" priority="3">
      <formula>$D$49="简单平均"</formula>
    </cfRule>
  </conditionalFormatting>
  <conditionalFormatting sqref="J49">
    <cfRule type="expression" dxfId="186" priority="2">
      <formula>$D$49="简单平均"</formula>
    </cfRule>
  </conditionalFormatting>
  <conditionalFormatting sqref="F9:F47 H9:H47 J9:J47">
    <cfRule type="cellIs" dxfId="185"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502"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8" t="s">
        <v>1675</v>
      </c>
      <c r="B3" s="504"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5" t="s">
        <v>514</v>
      </c>
      <c r="B4" s="421"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3"/>
      <c r="B5" s="424" t="e">
        <f>ROUND(B2/('数据-汇总表'!D3/666.67),0)</f>
        <v>#DIV/0!</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6" t="s">
        <v>515</v>
      </c>
      <c r="B6" s="507"/>
      <c r="C6" s="3664" t="s">
        <v>516</v>
      </c>
      <c r="D6" s="3665"/>
      <c r="E6" s="3698" t="s">
        <v>517</v>
      </c>
      <c r="F6" s="3699"/>
      <c r="G6" s="3664" t="s">
        <v>518</v>
      </c>
      <c r="H6" s="3665"/>
      <c r="I6" s="3664" t="s">
        <v>519</v>
      </c>
      <c r="J6" s="3665"/>
      <c r="K6" s="508" t="s">
        <v>520</v>
      </c>
      <c r="L6" s="2012"/>
      <c r="M6" s="2013"/>
      <c r="N6" s="2013"/>
      <c r="O6" s="2013"/>
      <c r="P6" s="3666" t="s">
        <v>521</v>
      </c>
      <c r="Q6" s="3667"/>
      <c r="R6" s="3672" t="s">
        <v>517</v>
      </c>
      <c r="S6" s="3673"/>
      <c r="T6" s="3672" t="s">
        <v>518</v>
      </c>
      <c r="U6" s="3673"/>
      <c r="V6" s="3659" t="s">
        <v>519</v>
      </c>
      <c r="W6" s="3659"/>
      <c r="X6" s="1498"/>
      <c r="Y6" s="3672" t="s">
        <v>521</v>
      </c>
      <c r="Z6" s="3673"/>
      <c r="AA6" s="3661" t="s">
        <v>517</v>
      </c>
      <c r="AB6" s="3662" t="s">
        <v>518</v>
      </c>
      <c r="AC6" s="3661" t="s">
        <v>519</v>
      </c>
    </row>
    <row r="7" spans="1:29" ht="15">
      <c r="A7" s="509"/>
      <c r="B7" s="510"/>
      <c r="C7" s="3680" t="s">
        <v>2890</v>
      </c>
      <c r="D7" s="3681"/>
      <c r="E7" s="3700" t="s">
        <v>2891</v>
      </c>
      <c r="F7" s="3701"/>
      <c r="G7" s="3680" t="s">
        <v>2892</v>
      </c>
      <c r="H7" s="3681"/>
      <c r="I7" s="3680" t="s">
        <v>2893</v>
      </c>
      <c r="J7" s="3681"/>
      <c r="K7" s="508"/>
      <c r="L7" s="2012"/>
      <c r="M7" s="2013"/>
      <c r="N7" s="2013"/>
      <c r="O7" s="2013"/>
      <c r="P7" s="3668"/>
      <c r="Q7" s="3669"/>
      <c r="R7" s="3674"/>
      <c r="S7" s="3675"/>
      <c r="T7" s="3674"/>
      <c r="U7" s="3675"/>
      <c r="V7" s="3659"/>
      <c r="W7" s="3659"/>
      <c r="X7" s="1498"/>
      <c r="Y7" s="3674"/>
      <c r="Z7" s="3675"/>
      <c r="AA7" s="3662"/>
      <c r="AB7" s="3662"/>
      <c r="AC7" s="3662"/>
    </row>
    <row r="8" spans="1:29" ht="15.75" thickBot="1">
      <c r="A8" s="511"/>
      <c r="B8" s="512"/>
      <c r="C8" s="3678" t="s">
        <v>2894</v>
      </c>
      <c r="D8" s="3679"/>
      <c r="E8" s="3696" t="s">
        <v>2894</v>
      </c>
      <c r="F8" s="3697"/>
      <c r="G8" s="3678" t="s">
        <v>2894</v>
      </c>
      <c r="H8" s="3679"/>
      <c r="I8" s="3678" t="s">
        <v>2894</v>
      </c>
      <c r="J8" s="3679"/>
      <c r="K8" s="508" t="s">
        <v>522</v>
      </c>
      <c r="L8" s="2012"/>
      <c r="M8" s="2013"/>
      <c r="N8" s="2013"/>
      <c r="O8" s="2013"/>
      <c r="P8" s="3670"/>
      <c r="Q8" s="3671"/>
      <c r="R8" s="3674"/>
      <c r="S8" s="3675"/>
      <c r="T8" s="3676"/>
      <c r="U8" s="3677"/>
      <c r="V8" s="3659"/>
      <c r="W8" s="3659"/>
      <c r="X8" s="1498"/>
      <c r="Y8" s="3676"/>
      <c r="Z8" s="3677"/>
      <c r="AA8" s="3663"/>
      <c r="AB8" s="3663"/>
      <c r="AC8" s="3663"/>
    </row>
    <row r="9" spans="1:29" s="1201" customFormat="1" ht="15.75" thickBot="1">
      <c r="A9" s="2626"/>
      <c r="B9" s="2633" t="s">
        <v>523</v>
      </c>
      <c r="C9" s="513">
        <f>'数据-取费表'!B2</f>
        <v>44377</v>
      </c>
      <c r="D9" s="514">
        <v>100</v>
      </c>
      <c r="E9" s="515"/>
      <c r="F9" s="516">
        <f>SUMIF(67:67,YEAR(E9)&amp;"-"&amp;INT((MONTH(E9)+2)/3),68:68)</f>
        <v>0</v>
      </c>
      <c r="G9" s="517"/>
      <c r="H9" s="514">
        <f>SUMIF(67:67,YEAR(G9)&amp;"-"&amp;INT((MONTH(G9)+2)/3),68:68)</f>
        <v>0</v>
      </c>
      <c r="I9" s="517"/>
      <c r="J9" s="514">
        <f>SUMIF(67:67,YEAR(I9)&amp;"-"&amp;INT((MONTH(I9)+2)/3),68:68)</f>
        <v>0</v>
      </c>
      <c r="K9" s="518"/>
      <c r="L9" s="2014"/>
      <c r="M9" s="2015"/>
      <c r="N9" s="2015"/>
      <c r="O9" s="2015"/>
      <c r="P9" s="3689" t="s">
        <v>524</v>
      </c>
      <c r="Q9" s="3691"/>
      <c r="R9" s="1499" t="s">
        <v>8</v>
      </c>
      <c r="S9" s="1500">
        <f t="shared" ref="S9:S17" si="0">F9</f>
        <v>0</v>
      </c>
      <c r="T9" s="1499" t="s">
        <v>8</v>
      </c>
      <c r="U9" s="1500">
        <f t="shared" ref="U9:U17" si="1">H9</f>
        <v>0</v>
      </c>
      <c r="V9" s="1499" t="s">
        <v>8</v>
      </c>
      <c r="W9" s="1500">
        <f t="shared" ref="W9:W17" si="2">J9</f>
        <v>0</v>
      </c>
      <c r="X9" s="1501"/>
      <c r="Y9" s="3689" t="s">
        <v>524</v>
      </c>
      <c r="Z9" s="3690"/>
      <c r="AA9" s="1502" t="e">
        <f>D9/F9</f>
        <v>#DIV/0!</v>
      </c>
      <c r="AB9" s="1502" t="e">
        <f>D9/H9</f>
        <v>#DIV/0!</v>
      </c>
      <c r="AC9" s="1502" t="e">
        <f>D9/J9</f>
        <v>#DIV/0!</v>
      </c>
    </row>
    <row r="10" spans="1:29" s="1201" customFormat="1" ht="15.75" thickBot="1">
      <c r="A10" s="2627"/>
      <c r="B10" s="263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4"/>
      <c r="M10" s="2015"/>
      <c r="N10" s="2015"/>
      <c r="O10" s="2015"/>
      <c r="P10" s="3689" t="s">
        <v>527</v>
      </c>
      <c r="Q10" s="3690"/>
      <c r="R10" s="1499" t="s">
        <v>8</v>
      </c>
      <c r="S10" s="1500">
        <f t="shared" si="0"/>
        <v>0</v>
      </c>
      <c r="T10" s="1499" t="s">
        <v>8</v>
      </c>
      <c r="U10" s="1500">
        <f t="shared" si="1"/>
        <v>0</v>
      </c>
      <c r="V10" s="1499" t="s">
        <v>8</v>
      </c>
      <c r="W10" s="1500">
        <f t="shared" si="2"/>
        <v>0</v>
      </c>
      <c r="X10" s="1501"/>
      <c r="Y10" s="3689" t="s">
        <v>527</v>
      </c>
      <c r="Z10" s="3690"/>
      <c r="AA10" s="1502" t="e">
        <f t="shared" ref="AA10:AA42" si="3">D10/F10</f>
        <v>#DIV/0!</v>
      </c>
      <c r="AB10" s="1502" t="e">
        <f t="shared" ref="AB10:AB42" si="4">D10/H10</f>
        <v>#DIV/0!</v>
      </c>
      <c r="AC10" s="1502" t="e">
        <f t="shared" ref="AC10:AC42" si="5">D10/J10</f>
        <v>#DIV/0!</v>
      </c>
    </row>
    <row r="11" spans="1:29" s="1201" customFormat="1" ht="15">
      <c r="A11" s="2628"/>
      <c r="B11" s="2635" t="s">
        <v>2733</v>
      </c>
      <c r="C11" s="520"/>
      <c r="D11" s="252">
        <v>100</v>
      </c>
      <c r="E11" s="520"/>
      <c r="F11" s="252">
        <f>SUMIF(72:72,E11,73:73)-SUMIF(72:72,C11,73:73)+100</f>
        <v>100</v>
      </c>
      <c r="G11" s="520"/>
      <c r="H11" s="252">
        <f>SUMIF(72:72,G11,73:73)-SUMIF(72:72,C11,73:73)+100</f>
        <v>100</v>
      </c>
      <c r="I11" s="520"/>
      <c r="J11" s="252">
        <f>SUMIF(72:72,I11,73:73)-SUMIF(72:72,C11,73:73)+100</f>
        <v>100</v>
      </c>
      <c r="K11" s="518"/>
      <c r="L11" s="2014"/>
      <c r="M11" s="2015"/>
      <c r="N11" s="2015"/>
      <c r="O11" s="2016"/>
      <c r="P11" s="3658" t="s">
        <v>529</v>
      </c>
      <c r="Q11" s="1132" t="str">
        <f t="shared" ref="Q11:Q17" si="6">B11</f>
        <v>用途</v>
      </c>
      <c r="R11" s="1499" t="s">
        <v>8</v>
      </c>
      <c r="S11" s="1500">
        <f t="shared" si="0"/>
        <v>100</v>
      </c>
      <c r="T11" s="1499" t="s">
        <v>8</v>
      </c>
      <c r="U11" s="1500">
        <f t="shared" si="1"/>
        <v>100</v>
      </c>
      <c r="V11" s="1499" t="s">
        <v>8</v>
      </c>
      <c r="W11" s="1500">
        <f t="shared" si="2"/>
        <v>100</v>
      </c>
      <c r="X11" s="1501"/>
      <c r="Y11" s="3604" t="s">
        <v>530</v>
      </c>
      <c r="Z11" s="1131" t="str">
        <f t="shared" ref="Z11:Z17" si="7">Q11</f>
        <v>用途</v>
      </c>
      <c r="AA11" s="1502">
        <f t="shared" si="3"/>
        <v>1</v>
      </c>
      <c r="AB11" s="1502">
        <f t="shared" si="4"/>
        <v>1</v>
      </c>
      <c r="AC11" s="1502">
        <f t="shared" si="5"/>
        <v>1</v>
      </c>
    </row>
    <row r="12" spans="1:29" s="1290" customFormat="1" ht="27">
      <c r="A12" s="2629"/>
      <c r="B12" s="2634" t="s">
        <v>2734</v>
      </c>
      <c r="C12" s="522"/>
      <c r="D12" s="253">
        <v>100</v>
      </c>
      <c r="E12" s="522"/>
      <c r="F12" s="253">
        <f>ROUND(100/'数据-取费表'!G16,0)</f>
        <v>104</v>
      </c>
      <c r="G12" s="522"/>
      <c r="H12" s="253">
        <f>ROUND(100/'数据-取费表'!G16,0)</f>
        <v>104</v>
      </c>
      <c r="I12" s="522"/>
      <c r="J12" s="253">
        <f>ROUND(100/'数据-取费表'!G16,0)</f>
        <v>104</v>
      </c>
      <c r="K12" s="525"/>
      <c r="L12" s="2017"/>
      <c r="M12" s="2056"/>
      <c r="N12" s="2056"/>
      <c r="O12" s="2018"/>
      <c r="P12" s="3658"/>
      <c r="Q12" s="1132" t="str">
        <f t="shared" si="6"/>
        <v>土地使用年限（年）</v>
      </c>
      <c r="R12" s="1499" t="s">
        <v>8</v>
      </c>
      <c r="S12" s="1500">
        <f t="shared" si="0"/>
        <v>104</v>
      </c>
      <c r="T12" s="1499" t="s">
        <v>8</v>
      </c>
      <c r="U12" s="1500">
        <f t="shared" si="1"/>
        <v>104</v>
      </c>
      <c r="V12" s="1499" t="s">
        <v>8</v>
      </c>
      <c r="W12" s="1500">
        <f t="shared" si="2"/>
        <v>104</v>
      </c>
      <c r="X12" s="1501"/>
      <c r="Y12" s="3604"/>
      <c r="Z12" s="1131" t="str">
        <f t="shared" si="7"/>
        <v>土地使用年限（年）</v>
      </c>
      <c r="AA12" s="1502">
        <f t="shared" si="3"/>
        <v>0.96153846153846156</v>
      </c>
      <c r="AB12" s="1502">
        <f t="shared" si="4"/>
        <v>0.96153846153846156</v>
      </c>
      <c r="AC12" s="1502">
        <f t="shared" si="5"/>
        <v>0.96153846153846156</v>
      </c>
    </row>
    <row r="13" spans="1:29" ht="15">
      <c r="A13" s="2630"/>
      <c r="B13" s="2634"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9"/>
      <c r="M13" s="2013"/>
      <c r="N13" s="2013"/>
      <c r="O13" s="2020"/>
      <c r="P13" s="3658"/>
      <c r="Q13" s="1132" t="str">
        <f t="shared" si="6"/>
        <v>容积率</v>
      </c>
      <c r="R13" s="1499" t="s">
        <v>8</v>
      </c>
      <c r="S13" s="1500" t="e">
        <f t="shared" si="0"/>
        <v>#N/A</v>
      </c>
      <c r="T13" s="1499" t="s">
        <v>8</v>
      </c>
      <c r="U13" s="1500" t="e">
        <f t="shared" si="1"/>
        <v>#N/A</v>
      </c>
      <c r="V13" s="1499" t="s">
        <v>8</v>
      </c>
      <c r="W13" s="1500" t="e">
        <f t="shared" si="2"/>
        <v>#N/A</v>
      </c>
      <c r="X13" s="1501"/>
      <c r="Y13" s="3604"/>
      <c r="Z13" s="1131" t="str">
        <f t="shared" si="7"/>
        <v>容积率</v>
      </c>
      <c r="AA13" s="1502" t="e">
        <f t="shared" si="3"/>
        <v>#N/A</v>
      </c>
      <c r="AB13" s="1502" t="e">
        <f t="shared" si="4"/>
        <v>#N/A</v>
      </c>
      <c r="AC13" s="1502" t="e">
        <f t="shared" si="5"/>
        <v>#N/A</v>
      </c>
    </row>
    <row r="14" spans="1:29" s="1201" customFormat="1" ht="15">
      <c r="A14" s="2631"/>
      <c r="B14" s="2637">
        <v>111</v>
      </c>
      <c r="C14" s="522"/>
      <c r="D14" s="532">
        <v>100</v>
      </c>
      <c r="E14" s="535"/>
      <c r="F14" s="253">
        <f>SUMIF(79:79,E14,80:80)-SUMIF(79:79,C14,80:80)+100</f>
        <v>100</v>
      </c>
      <c r="G14" s="536"/>
      <c r="H14" s="253">
        <f>SUMIF(79:79,G14,80:80)-SUMIF(79:79,C14,80:80)+100</f>
        <v>100</v>
      </c>
      <c r="I14" s="535"/>
      <c r="J14" s="253">
        <f>SUMIF(79:79,I14,80:80)-SUMIF(79:79,C14,80:80)+100</f>
        <v>100</v>
      </c>
      <c r="K14" s="525"/>
      <c r="L14" s="2014"/>
      <c r="M14" s="2015"/>
      <c r="N14" s="2015"/>
      <c r="O14" s="2016"/>
      <c r="P14" s="3658"/>
      <c r="Q14" s="1132">
        <f t="shared" si="6"/>
        <v>111</v>
      </c>
      <c r="R14" s="1499" t="s">
        <v>8</v>
      </c>
      <c r="S14" s="1500">
        <f t="shared" si="0"/>
        <v>100</v>
      </c>
      <c r="T14" s="1499" t="s">
        <v>8</v>
      </c>
      <c r="U14" s="1500">
        <f t="shared" si="1"/>
        <v>100</v>
      </c>
      <c r="V14" s="1499" t="s">
        <v>8</v>
      </c>
      <c r="W14" s="1500">
        <f t="shared" si="2"/>
        <v>100</v>
      </c>
      <c r="X14" s="1501"/>
      <c r="Y14" s="3604"/>
      <c r="Z14" s="1131">
        <f t="shared" si="7"/>
        <v>111</v>
      </c>
      <c r="AA14" s="1502">
        <f>D14/F14</f>
        <v>1</v>
      </c>
      <c r="AB14" s="1502">
        <f>D14/H14</f>
        <v>1</v>
      </c>
      <c r="AC14" s="1502">
        <f>D14/J14</f>
        <v>1</v>
      </c>
    </row>
    <row r="15" spans="1:29" ht="15">
      <c r="A15" s="2631"/>
      <c r="B15" s="2637">
        <v>111</v>
      </c>
      <c r="C15" s="533"/>
      <c r="D15" s="534">
        <v>100</v>
      </c>
      <c r="E15" s="535"/>
      <c r="F15" s="253">
        <f>SUMIF(81:81,E15,82:82)-SUMIF(81:81,C15,82:82)+100</f>
        <v>100</v>
      </c>
      <c r="G15" s="536"/>
      <c r="H15" s="534">
        <f>SUMIF(81:81,G15,82:82)-SUMIF(81:81,C15,82:82)+100</f>
        <v>100</v>
      </c>
      <c r="I15" s="535"/>
      <c r="J15" s="534">
        <f>SUMIF(81:81,I15,82:82)-SUMIF(81:81,C15,82:82)+100</f>
        <v>100</v>
      </c>
      <c r="K15" s="525"/>
      <c r="L15" s="2021"/>
      <c r="M15" s="2013"/>
      <c r="N15" s="2013"/>
      <c r="O15" s="2020"/>
      <c r="P15" s="3658"/>
      <c r="Q15" s="1132">
        <f t="shared" si="6"/>
        <v>111</v>
      </c>
      <c r="R15" s="1499" t="s">
        <v>8</v>
      </c>
      <c r="S15" s="1500">
        <f t="shared" si="0"/>
        <v>100</v>
      </c>
      <c r="T15" s="1499" t="s">
        <v>8</v>
      </c>
      <c r="U15" s="1500">
        <f t="shared" si="1"/>
        <v>100</v>
      </c>
      <c r="V15" s="1499" t="s">
        <v>8</v>
      </c>
      <c r="W15" s="1500">
        <f t="shared" si="2"/>
        <v>100</v>
      </c>
      <c r="X15" s="1501"/>
      <c r="Y15" s="3604"/>
      <c r="Z15" s="1131">
        <f t="shared" si="7"/>
        <v>111</v>
      </c>
      <c r="AA15" s="1502">
        <f t="shared" si="3"/>
        <v>1</v>
      </c>
      <c r="AB15" s="1502">
        <f t="shared" si="4"/>
        <v>1</v>
      </c>
      <c r="AC15" s="1502">
        <f t="shared" si="5"/>
        <v>1</v>
      </c>
    </row>
    <row r="16" spans="1:29" ht="15.75" thickBot="1">
      <c r="A16" s="2632"/>
      <c r="B16" s="2638">
        <v>111</v>
      </c>
      <c r="C16" s="539"/>
      <c r="D16" s="540">
        <v>100</v>
      </c>
      <c r="E16" s="535"/>
      <c r="F16" s="540">
        <f>SUMIF(83:83,E16,84:84)-SUMIF(83:83,C16,84:84)+100</f>
        <v>100</v>
      </c>
      <c r="G16" s="536"/>
      <c r="H16" s="540">
        <f>SUMIF(83:83,G16,84:84)-SUMIF(83:83,C16,84:84)+100</f>
        <v>100</v>
      </c>
      <c r="I16" s="535"/>
      <c r="J16" s="540">
        <f>SUMIF(83:83,I16,84:84)-SUMIF(83:83,C16,84:84)+100</f>
        <v>100</v>
      </c>
      <c r="K16" s="525"/>
      <c r="L16" s="2021"/>
      <c r="M16" s="2013"/>
      <c r="N16" s="2013"/>
      <c r="O16" s="2020"/>
      <c r="P16" s="3658"/>
      <c r="Q16" s="1132">
        <f t="shared" si="6"/>
        <v>111</v>
      </c>
      <c r="R16" s="1499" t="s">
        <v>8</v>
      </c>
      <c r="S16" s="1500">
        <f t="shared" si="0"/>
        <v>100</v>
      </c>
      <c r="T16" s="1499" t="s">
        <v>8</v>
      </c>
      <c r="U16" s="1500">
        <f t="shared" si="1"/>
        <v>100</v>
      </c>
      <c r="V16" s="1499" t="s">
        <v>8</v>
      </c>
      <c r="W16" s="1500">
        <f t="shared" si="2"/>
        <v>100</v>
      </c>
      <c r="X16" s="1501"/>
      <c r="Y16" s="3604"/>
      <c r="Z16" s="1131">
        <f t="shared" si="7"/>
        <v>111</v>
      </c>
      <c r="AA16" s="1502">
        <f t="shared" si="3"/>
        <v>1</v>
      </c>
      <c r="AB16" s="1502">
        <f t="shared" si="4"/>
        <v>1</v>
      </c>
      <c r="AC16" s="1502">
        <f t="shared" si="5"/>
        <v>1</v>
      </c>
    </row>
    <row r="17" spans="1:29" ht="57">
      <c r="A17" s="2624" t="s">
        <v>2731</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1"/>
      <c r="M17" s="2013"/>
      <c r="N17" s="2013"/>
      <c r="O17" s="2020"/>
      <c r="P17" s="3692" t="s">
        <v>534</v>
      </c>
      <c r="Q17" s="1503" t="str">
        <f t="shared" si="6"/>
        <v>产业集聚程度</v>
      </c>
      <c r="R17" s="1504" t="s">
        <v>8</v>
      </c>
      <c r="S17" s="1505">
        <f t="shared" si="0"/>
        <v>100</v>
      </c>
      <c r="T17" s="1504" t="s">
        <v>8</v>
      </c>
      <c r="U17" s="1505">
        <f t="shared" si="1"/>
        <v>100</v>
      </c>
      <c r="V17" s="1504" t="s">
        <v>8</v>
      </c>
      <c r="W17" s="1505">
        <f t="shared" si="2"/>
        <v>100</v>
      </c>
      <c r="X17" s="1498"/>
      <c r="Y17" s="3692" t="s">
        <v>534</v>
      </c>
      <c r="Z17" s="1506" t="str">
        <f t="shared" si="7"/>
        <v>产业集聚程度</v>
      </c>
      <c r="AA17" s="1507">
        <f t="shared" si="3"/>
        <v>1</v>
      </c>
      <c r="AB17" s="1507">
        <f t="shared" si="4"/>
        <v>1</v>
      </c>
      <c r="AC17" s="1507">
        <f t="shared" si="5"/>
        <v>1</v>
      </c>
    </row>
    <row r="18" spans="1:29" ht="15">
      <c r="A18" s="526"/>
      <c r="B18" s="858"/>
      <c r="C18" s="570"/>
      <c r="D18" s="549"/>
      <c r="E18" s="548"/>
      <c r="F18" s="549"/>
      <c r="G18" s="548"/>
      <c r="H18" s="553"/>
      <c r="I18" s="548"/>
      <c r="J18" s="549"/>
      <c r="K18" s="525"/>
      <c r="L18" s="2021"/>
      <c r="M18" s="2013"/>
      <c r="N18" s="2013"/>
      <c r="O18" s="2020"/>
      <c r="P18" s="3693"/>
      <c r="Q18" s="1503"/>
      <c r="R18" s="1504"/>
      <c r="S18" s="1505"/>
      <c r="T18" s="1504"/>
      <c r="U18" s="1505"/>
      <c r="V18" s="1504"/>
      <c r="W18" s="1505"/>
      <c r="X18" s="1498"/>
      <c r="Y18" s="3693"/>
      <c r="Z18" s="1506"/>
      <c r="AA18" s="1507">
        <v>1</v>
      </c>
      <c r="AB18" s="1507">
        <v>1</v>
      </c>
      <c r="AC18" s="1507">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1"/>
      <c r="M19" s="2013"/>
      <c r="N19" s="2013"/>
      <c r="O19" s="2020"/>
      <c r="P19" s="3693"/>
      <c r="Q19" s="1503" t="str">
        <f>B19</f>
        <v>交通便捷度</v>
      </c>
      <c r="R19" s="1504" t="s">
        <v>8</v>
      </c>
      <c r="S19" s="1505">
        <f>F19</f>
        <v>100</v>
      </c>
      <c r="T19" s="1504" t="s">
        <v>8</v>
      </c>
      <c r="U19" s="1505">
        <f>H19</f>
        <v>100</v>
      </c>
      <c r="V19" s="1504" t="s">
        <v>8</v>
      </c>
      <c r="W19" s="1505">
        <f>J19</f>
        <v>100</v>
      </c>
      <c r="X19" s="1498"/>
      <c r="Y19" s="3693"/>
      <c r="Z19" s="1506" t="str">
        <f>Q19</f>
        <v>交通便捷度</v>
      </c>
      <c r="AA19" s="1507">
        <f t="shared" si="3"/>
        <v>1</v>
      </c>
      <c r="AB19" s="1507">
        <f t="shared" si="4"/>
        <v>1</v>
      </c>
      <c r="AC19" s="1507">
        <f t="shared" si="5"/>
        <v>1</v>
      </c>
    </row>
    <row r="20" spans="1:29" ht="15">
      <c r="A20" s="526"/>
      <c r="B20" s="910"/>
      <c r="C20" s="570"/>
      <c r="D20" s="549"/>
      <c r="E20" s="550"/>
      <c r="F20" s="549"/>
      <c r="G20" s="550"/>
      <c r="H20" s="549"/>
      <c r="I20" s="552"/>
      <c r="J20" s="549"/>
      <c r="K20" s="525"/>
      <c r="L20" s="2021"/>
      <c r="M20" s="2013"/>
      <c r="N20" s="2013"/>
      <c r="O20" s="2020"/>
      <c r="P20" s="3693"/>
      <c r="Q20" s="1503"/>
      <c r="R20" s="1504"/>
      <c r="S20" s="1505"/>
      <c r="T20" s="1504"/>
      <c r="U20" s="1505"/>
      <c r="V20" s="1504"/>
      <c r="W20" s="1505"/>
      <c r="X20" s="1498"/>
      <c r="Y20" s="3693"/>
      <c r="Z20" s="1506"/>
      <c r="AA20" s="1507">
        <v>1</v>
      </c>
      <c r="AB20" s="1507">
        <v>1</v>
      </c>
      <c r="AC20" s="1507">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1"/>
      <c r="M21" s="2013"/>
      <c r="N21" s="2013"/>
      <c r="O21" s="2020"/>
      <c r="P21" s="3693"/>
      <c r="Q21" s="1503" t="str">
        <f t="shared" ref="Q21:Q35" si="8">B21</f>
        <v>区域土地利用方向</v>
      </c>
      <c r="R21" s="1504" t="s">
        <v>8</v>
      </c>
      <c r="S21" s="1505">
        <f>F21</f>
        <v>100</v>
      </c>
      <c r="T21" s="1504" t="s">
        <v>8</v>
      </c>
      <c r="U21" s="1505">
        <f>H21</f>
        <v>100</v>
      </c>
      <c r="V21" s="1504" t="s">
        <v>8</v>
      </c>
      <c r="W21" s="1505">
        <f>J21</f>
        <v>100</v>
      </c>
      <c r="X21" s="1498"/>
      <c r="Y21" s="3693"/>
      <c r="Z21" s="1506" t="str">
        <f>Q21</f>
        <v>区域土地利用方向</v>
      </c>
      <c r="AA21" s="1507">
        <f t="shared" si="3"/>
        <v>1</v>
      </c>
      <c r="AB21" s="1507">
        <f t="shared" si="4"/>
        <v>1</v>
      </c>
      <c r="AC21" s="1507">
        <f t="shared" si="5"/>
        <v>1</v>
      </c>
    </row>
    <row r="22" spans="1:29" ht="15">
      <c r="A22" s="509"/>
      <c r="B22" s="589"/>
      <c r="C22" s="570"/>
      <c r="D22" s="549"/>
      <c r="E22" s="550"/>
      <c r="F22" s="551"/>
      <c r="G22" s="552"/>
      <c r="H22" s="551"/>
      <c r="I22" s="552"/>
      <c r="J22" s="551"/>
      <c r="K22" s="1299"/>
      <c r="L22" s="2021"/>
      <c r="M22" s="2013"/>
      <c r="N22" s="2013"/>
      <c r="O22" s="2020"/>
      <c r="P22" s="3693"/>
      <c r="Q22" s="1503"/>
      <c r="R22" s="1504"/>
      <c r="S22" s="1505"/>
      <c r="T22" s="1504"/>
      <c r="U22" s="1505"/>
      <c r="V22" s="1504"/>
      <c r="W22" s="1505"/>
      <c r="X22" s="1498"/>
      <c r="Y22" s="3693"/>
      <c r="Z22" s="1506"/>
      <c r="AA22" s="1507"/>
      <c r="AB22" s="1507"/>
      <c r="AC22" s="1507"/>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1"/>
      <c r="M23" s="2013"/>
      <c r="N23" s="2013"/>
      <c r="O23" s="2020"/>
      <c r="P23" s="3693"/>
      <c r="Q23" s="1503" t="str">
        <f t="shared" si="8"/>
        <v>环境状况</v>
      </c>
      <c r="R23" s="1504" t="s">
        <v>8</v>
      </c>
      <c r="S23" s="1505">
        <f>F23</f>
        <v>100</v>
      </c>
      <c r="T23" s="1504" t="s">
        <v>8</v>
      </c>
      <c r="U23" s="1505">
        <f>H23</f>
        <v>100</v>
      </c>
      <c r="V23" s="1504" t="s">
        <v>8</v>
      </c>
      <c r="W23" s="1505">
        <f>J23</f>
        <v>100</v>
      </c>
      <c r="X23" s="1498"/>
      <c r="Y23" s="3693"/>
      <c r="Z23" s="1506" t="str">
        <f>Q23</f>
        <v>环境状况</v>
      </c>
      <c r="AA23" s="1507">
        <f t="shared" si="3"/>
        <v>1</v>
      </c>
      <c r="AB23" s="1507">
        <f t="shared" si="4"/>
        <v>1</v>
      </c>
      <c r="AC23" s="1507">
        <f t="shared" si="5"/>
        <v>1</v>
      </c>
    </row>
    <row r="24" spans="1:29" ht="15">
      <c r="A24" s="509"/>
      <c r="B24" s="589"/>
      <c r="C24" s="570"/>
      <c r="D24" s="549"/>
      <c r="E24" s="548"/>
      <c r="F24" s="549"/>
      <c r="G24" s="548"/>
      <c r="H24" s="549"/>
      <c r="I24" s="570"/>
      <c r="J24" s="549"/>
      <c r="K24" s="525"/>
      <c r="L24" s="2021"/>
      <c r="M24" s="2013"/>
      <c r="N24" s="2013"/>
      <c r="O24" s="2020"/>
      <c r="P24" s="3693"/>
      <c r="Q24" s="1503"/>
      <c r="R24" s="1504"/>
      <c r="S24" s="1505"/>
      <c r="T24" s="1504"/>
      <c r="U24" s="1505"/>
      <c r="V24" s="1504"/>
      <c r="W24" s="1505"/>
      <c r="X24" s="1498"/>
      <c r="Y24" s="3693"/>
      <c r="Z24" s="1506"/>
      <c r="AA24" s="1507">
        <v>1</v>
      </c>
      <c r="AB24" s="1507">
        <v>1</v>
      </c>
      <c r="AC24" s="1507">
        <v>1</v>
      </c>
    </row>
    <row r="25" spans="1:29" s="1201" customFormat="1" ht="42.75">
      <c r="A25" s="571"/>
      <c r="B25" s="2434"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4"/>
      <c r="M25" s="2015"/>
      <c r="N25" s="2015"/>
      <c r="O25" s="2016"/>
      <c r="P25" s="3693"/>
      <c r="Q25" s="1132" t="str">
        <f t="shared" si="8"/>
        <v>公共配套设施</v>
      </c>
      <c r="R25" s="1499" t="s">
        <v>8</v>
      </c>
      <c r="S25" s="1500">
        <f>F25</f>
        <v>100</v>
      </c>
      <c r="T25" s="1499" t="s">
        <v>8</v>
      </c>
      <c r="U25" s="1500">
        <f>H25</f>
        <v>100</v>
      </c>
      <c r="V25" s="1499" t="s">
        <v>8</v>
      </c>
      <c r="W25" s="1500">
        <f>J25</f>
        <v>100</v>
      </c>
      <c r="X25" s="1501"/>
      <c r="Y25" s="3693"/>
      <c r="Z25" s="1131" t="str">
        <f>Q25</f>
        <v>公共配套设施</v>
      </c>
      <c r="AA25" s="1507">
        <f>D25/F25</f>
        <v>1</v>
      </c>
      <c r="AB25" s="1507">
        <f>D25/H25</f>
        <v>1</v>
      </c>
      <c r="AC25" s="1507">
        <f>D25/J25</f>
        <v>1</v>
      </c>
    </row>
    <row r="26" spans="1:29" s="1201" customFormat="1" ht="15">
      <c r="A26" s="571"/>
      <c r="B26" s="589"/>
      <c r="C26" s="2433"/>
      <c r="D26" s="549"/>
      <c r="E26" s="548"/>
      <c r="F26" s="549"/>
      <c r="G26" s="548"/>
      <c r="H26" s="549"/>
      <c r="I26" s="570"/>
      <c r="J26" s="549"/>
      <c r="K26" s="525"/>
      <c r="L26" s="2014"/>
      <c r="M26" s="2015"/>
      <c r="N26" s="2015"/>
      <c r="O26" s="2016"/>
      <c r="P26" s="3693"/>
      <c r="Q26" s="1132"/>
      <c r="R26" s="1499"/>
      <c r="S26" s="1500"/>
      <c r="T26" s="1499"/>
      <c r="U26" s="1500"/>
      <c r="V26" s="1499"/>
      <c r="W26" s="1500"/>
      <c r="X26" s="1501"/>
      <c r="Y26" s="3693"/>
      <c r="Z26" s="1131"/>
      <c r="AA26" s="1502">
        <v>1</v>
      </c>
      <c r="AB26" s="1502">
        <v>1</v>
      </c>
      <c r="AC26" s="1502">
        <v>1</v>
      </c>
    </row>
    <row r="27" spans="1:29" s="1201" customFormat="1" ht="28.5">
      <c r="A27" s="571"/>
      <c r="B27" s="2434"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4"/>
      <c r="M27" s="2015"/>
      <c r="N27" s="2015"/>
      <c r="O27" s="2016"/>
      <c r="P27" s="3693"/>
      <c r="Q27" s="2425" t="str">
        <f t="shared" ref="Q27" si="9">B27</f>
        <v>基础设施水平</v>
      </c>
      <c r="R27" s="1499" t="s">
        <v>8</v>
      </c>
      <c r="S27" s="1500">
        <f>F27</f>
        <v>100</v>
      </c>
      <c r="T27" s="1499" t="s">
        <v>8</v>
      </c>
      <c r="U27" s="1500">
        <f>H27</f>
        <v>100</v>
      </c>
      <c r="V27" s="1499" t="s">
        <v>8</v>
      </c>
      <c r="W27" s="1500">
        <f>J27</f>
        <v>100</v>
      </c>
      <c r="X27" s="1501"/>
      <c r="Y27" s="3693"/>
      <c r="Z27" s="2424" t="str">
        <f>Q27</f>
        <v>基础设施水平</v>
      </c>
      <c r="AA27" s="1507">
        <f>D27/F27</f>
        <v>1</v>
      </c>
      <c r="AB27" s="1507">
        <f>D27/H27</f>
        <v>1</v>
      </c>
      <c r="AC27" s="1507">
        <f>D27/J27</f>
        <v>1</v>
      </c>
    </row>
    <row r="28" spans="1:29" s="1201" customFormat="1" ht="15">
      <c r="A28" s="571"/>
      <c r="B28" s="589"/>
      <c r="C28" s="2433"/>
      <c r="D28" s="549"/>
      <c r="E28" s="573"/>
      <c r="F28" s="549"/>
      <c r="G28" s="573"/>
      <c r="H28" s="549"/>
      <c r="I28" s="573"/>
      <c r="J28" s="549"/>
      <c r="K28" s="525"/>
      <c r="L28" s="2014"/>
      <c r="M28" s="2015"/>
      <c r="N28" s="2015"/>
      <c r="O28" s="2016"/>
      <c r="P28" s="3693"/>
      <c r="Q28" s="2425"/>
      <c r="R28" s="1499"/>
      <c r="S28" s="1500"/>
      <c r="T28" s="1499"/>
      <c r="U28" s="1500"/>
      <c r="V28" s="1499"/>
      <c r="W28" s="1500"/>
      <c r="X28" s="1501"/>
      <c r="Y28" s="3693"/>
      <c r="Z28" s="2424"/>
      <c r="AA28" s="1502">
        <v>1</v>
      </c>
      <c r="AB28" s="1502">
        <v>1</v>
      </c>
      <c r="AC28" s="1502">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1"/>
      <c r="M29" s="2013"/>
      <c r="N29" s="2013"/>
      <c r="O29" s="2020"/>
      <c r="P29" s="3693"/>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693"/>
      <c r="Z29" s="1506" t="str">
        <f t="shared" ref="Z29:Z42" si="13">Q29</f>
        <v>临街状况</v>
      </c>
      <c r="AA29" s="1507">
        <f t="shared" si="3"/>
        <v>1</v>
      </c>
      <c r="AB29" s="1507">
        <f t="shared" si="4"/>
        <v>1</v>
      </c>
      <c r="AC29" s="1507">
        <f t="shared" si="5"/>
        <v>1</v>
      </c>
    </row>
    <row r="30" spans="1:29" ht="27">
      <c r="A30" s="526"/>
      <c r="B30" s="910" t="s">
        <v>542</v>
      </c>
      <c r="C30" s="243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1"/>
      <c r="M30" s="2013"/>
      <c r="N30" s="2013"/>
      <c r="O30" s="2020"/>
      <c r="P30" s="3693"/>
      <c r="Q30" s="1503" t="str">
        <f t="shared" si="8"/>
        <v>毗邻道路的类型与等级</v>
      </c>
      <c r="R30" s="1504" t="s">
        <v>8</v>
      </c>
      <c r="S30" s="1505">
        <f t="shared" si="10"/>
        <v>100</v>
      </c>
      <c r="T30" s="1504" t="s">
        <v>8</v>
      </c>
      <c r="U30" s="1505">
        <f t="shared" si="11"/>
        <v>100</v>
      </c>
      <c r="V30" s="1504" t="s">
        <v>8</v>
      </c>
      <c r="W30" s="1505">
        <f t="shared" si="12"/>
        <v>100</v>
      </c>
      <c r="X30" s="1498"/>
      <c r="Y30" s="3693"/>
      <c r="Z30" s="1506" t="str">
        <f t="shared" si="13"/>
        <v>毗邻道路的类型与等级</v>
      </c>
      <c r="AA30" s="1507">
        <f t="shared" si="3"/>
        <v>1</v>
      </c>
      <c r="AB30" s="1507">
        <f t="shared" si="4"/>
        <v>1</v>
      </c>
      <c r="AC30" s="1507">
        <f t="shared" si="5"/>
        <v>1</v>
      </c>
    </row>
    <row r="31" spans="1:29" ht="15">
      <c r="A31" s="526"/>
      <c r="B31" s="589"/>
      <c r="C31" s="570"/>
      <c r="D31" s="549"/>
      <c r="E31" s="570"/>
      <c r="F31" s="549"/>
      <c r="G31" s="570"/>
      <c r="H31" s="549"/>
      <c r="I31" s="570"/>
      <c r="J31" s="549"/>
      <c r="K31" s="575"/>
      <c r="L31" s="2021"/>
      <c r="M31" s="2013"/>
      <c r="N31" s="2013"/>
      <c r="O31" s="2020"/>
      <c r="P31" s="3693"/>
      <c r="Q31" s="1503"/>
      <c r="R31" s="1504"/>
      <c r="S31" s="1505"/>
      <c r="T31" s="1504"/>
      <c r="U31" s="1505"/>
      <c r="V31" s="1504"/>
      <c r="W31" s="1505"/>
      <c r="X31" s="1498"/>
      <c r="Y31" s="3693"/>
      <c r="Z31" s="1506"/>
      <c r="AA31" s="1507">
        <v>1</v>
      </c>
      <c r="AB31" s="1507">
        <v>1</v>
      </c>
      <c r="AC31" s="1507">
        <v>1</v>
      </c>
    </row>
    <row r="32" spans="1:29" ht="15">
      <c r="A32" s="526"/>
      <c r="B32" s="521" t="s">
        <v>543</v>
      </c>
      <c r="C32" s="243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1"/>
      <c r="M32" s="2013"/>
      <c r="N32" s="2013"/>
      <c r="O32" s="2020"/>
      <c r="P32" s="3693"/>
      <c r="Q32" s="1503" t="str">
        <f t="shared" si="8"/>
        <v>土地级别</v>
      </c>
      <c r="R32" s="1504" t="s">
        <v>8</v>
      </c>
      <c r="S32" s="1505">
        <f t="shared" si="10"/>
        <v>100</v>
      </c>
      <c r="T32" s="1504" t="s">
        <v>8</v>
      </c>
      <c r="U32" s="1505">
        <f t="shared" si="11"/>
        <v>100</v>
      </c>
      <c r="V32" s="1504" t="s">
        <v>8</v>
      </c>
      <c r="W32" s="1505">
        <f t="shared" si="12"/>
        <v>100</v>
      </c>
      <c r="X32" s="1498"/>
      <c r="Y32" s="3693"/>
      <c r="Z32" s="1506" t="str">
        <f t="shared" si="13"/>
        <v>土地级别</v>
      </c>
      <c r="AA32" s="1507">
        <f t="shared" si="3"/>
        <v>1</v>
      </c>
      <c r="AB32" s="1507">
        <f t="shared" si="4"/>
        <v>1</v>
      </c>
      <c r="AC32" s="1507">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1"/>
      <c r="M33" s="2013"/>
      <c r="N33" s="2013"/>
      <c r="O33" s="2020"/>
      <c r="P33" s="3693"/>
      <c r="Q33" s="1503">
        <f t="shared" si="8"/>
        <v>111</v>
      </c>
      <c r="R33" s="1504" t="s">
        <v>8</v>
      </c>
      <c r="S33" s="1505">
        <f t="shared" si="10"/>
        <v>100</v>
      </c>
      <c r="T33" s="1504" t="s">
        <v>8</v>
      </c>
      <c r="U33" s="1505">
        <f t="shared" si="11"/>
        <v>100</v>
      </c>
      <c r="V33" s="1504" t="s">
        <v>8</v>
      </c>
      <c r="W33" s="1505">
        <f t="shared" si="12"/>
        <v>100</v>
      </c>
      <c r="X33" s="1498"/>
      <c r="Y33" s="3693"/>
      <c r="Z33" s="1506">
        <f t="shared" si="13"/>
        <v>111</v>
      </c>
      <c r="AA33" s="1507">
        <f t="shared" si="3"/>
        <v>1</v>
      </c>
      <c r="AB33" s="1507">
        <f t="shared" si="4"/>
        <v>1</v>
      </c>
      <c r="AC33" s="1507">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1"/>
      <c r="M34" s="2013"/>
      <c r="N34" s="2013"/>
      <c r="O34" s="2020"/>
      <c r="P34" s="3694" t="s">
        <v>544</v>
      </c>
      <c r="Q34" s="1503">
        <f t="shared" si="8"/>
        <v>111</v>
      </c>
      <c r="R34" s="1504" t="s">
        <v>8</v>
      </c>
      <c r="S34" s="1505">
        <f t="shared" si="10"/>
        <v>100</v>
      </c>
      <c r="T34" s="1504" t="s">
        <v>8</v>
      </c>
      <c r="U34" s="1505">
        <f t="shared" si="11"/>
        <v>100</v>
      </c>
      <c r="V34" s="1504" t="s">
        <v>8</v>
      </c>
      <c r="W34" s="1505">
        <f t="shared" si="12"/>
        <v>100</v>
      </c>
      <c r="X34" s="1498"/>
      <c r="Y34" s="3695" t="s">
        <v>544</v>
      </c>
      <c r="Z34" s="1506">
        <f t="shared" si="13"/>
        <v>111</v>
      </c>
      <c r="AA34" s="1507">
        <f t="shared" si="3"/>
        <v>1</v>
      </c>
      <c r="AB34" s="1507">
        <f t="shared" si="4"/>
        <v>1</v>
      </c>
      <c r="AC34" s="1507">
        <f t="shared" si="5"/>
        <v>1</v>
      </c>
    </row>
    <row r="35" spans="1:29" s="1291" customFormat="1" ht="15.75" thickBot="1">
      <c r="A35" s="583"/>
      <c r="B35" s="243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9"/>
      <c r="M35" s="2049"/>
      <c r="N35" s="2049"/>
      <c r="O35" s="2022"/>
      <c r="P35" s="3695"/>
      <c r="Q35" s="1503">
        <f t="shared" si="8"/>
        <v>111</v>
      </c>
      <c r="R35" s="1508" t="s">
        <v>8</v>
      </c>
      <c r="S35" s="1509">
        <f t="shared" si="10"/>
        <v>100</v>
      </c>
      <c r="T35" s="1508" t="s">
        <v>8</v>
      </c>
      <c r="U35" s="1509">
        <f t="shared" si="11"/>
        <v>100</v>
      </c>
      <c r="V35" s="1508" t="s">
        <v>8</v>
      </c>
      <c r="W35" s="1509">
        <f t="shared" si="12"/>
        <v>100</v>
      </c>
      <c r="X35" s="1510"/>
      <c r="Y35" s="3695"/>
      <c r="Z35" s="1511">
        <f t="shared" si="13"/>
        <v>111</v>
      </c>
      <c r="AA35" s="1507">
        <f t="shared" si="3"/>
        <v>1</v>
      </c>
      <c r="AB35" s="1507">
        <f t="shared" si="4"/>
        <v>1</v>
      </c>
      <c r="AC35" s="1507">
        <f t="shared" si="5"/>
        <v>1</v>
      </c>
    </row>
    <row r="36" spans="1:29" ht="15">
      <c r="A36" s="2621"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1"/>
      <c r="M36" s="2013"/>
      <c r="N36" s="2013"/>
      <c r="O36" s="2020"/>
      <c r="P36" s="3695"/>
      <c r="Q36" s="1503" t="str">
        <f>B36</f>
        <v>宗地面积</v>
      </c>
      <c r="R36" s="1504" t="s">
        <v>8</v>
      </c>
      <c r="S36" s="1505" t="e">
        <f t="shared" si="10"/>
        <v>#N/A</v>
      </c>
      <c r="T36" s="1504" t="s">
        <v>8</v>
      </c>
      <c r="U36" s="1505" t="e">
        <f t="shared" si="11"/>
        <v>#N/A</v>
      </c>
      <c r="V36" s="1504" t="s">
        <v>8</v>
      </c>
      <c r="W36" s="1505" t="e">
        <f t="shared" si="12"/>
        <v>#N/A</v>
      </c>
      <c r="X36" s="1498"/>
      <c r="Y36" s="3695"/>
      <c r="Z36" s="1506" t="str">
        <f t="shared" si="13"/>
        <v>宗地面积</v>
      </c>
      <c r="AA36" s="1507" t="e">
        <f t="shared" si="3"/>
        <v>#N/A</v>
      </c>
      <c r="AB36" s="1507" t="e">
        <f t="shared" si="4"/>
        <v>#N/A</v>
      </c>
      <c r="AC36" s="1507"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1"/>
      <c r="M37" s="2013"/>
      <c r="N37" s="2013"/>
      <c r="O37" s="2020"/>
      <c r="P37" s="3695"/>
      <c r="Q37" s="1503" t="str">
        <f t="shared" ref="Q37:Q42" si="14">B37</f>
        <v>宗地形状</v>
      </c>
      <c r="R37" s="1504" t="s">
        <v>8</v>
      </c>
      <c r="S37" s="1505">
        <f t="shared" si="10"/>
        <v>100</v>
      </c>
      <c r="T37" s="1504" t="s">
        <v>8</v>
      </c>
      <c r="U37" s="1505">
        <f t="shared" si="11"/>
        <v>100</v>
      </c>
      <c r="V37" s="1504" t="s">
        <v>8</v>
      </c>
      <c r="W37" s="1505">
        <f t="shared" si="12"/>
        <v>100</v>
      </c>
      <c r="X37" s="1498"/>
      <c r="Y37" s="3695"/>
      <c r="Z37" s="1506" t="str">
        <f t="shared" si="13"/>
        <v>宗地形状</v>
      </c>
      <c r="AA37" s="1507">
        <f t="shared" si="3"/>
        <v>1</v>
      </c>
      <c r="AB37" s="1507">
        <f t="shared" si="4"/>
        <v>1</v>
      </c>
      <c r="AC37" s="1507">
        <f t="shared" si="5"/>
        <v>1</v>
      </c>
    </row>
    <row r="38" spans="1:29" s="1201" customFormat="1" ht="15">
      <c r="A38" s="594"/>
      <c r="B38" s="1806"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4"/>
      <c r="M38" s="2015"/>
      <c r="N38" s="2015"/>
      <c r="O38" s="2016"/>
      <c r="P38" s="3695"/>
      <c r="Q38" s="1503" t="str">
        <f t="shared" si="14"/>
        <v>宗地开发程度</v>
      </c>
      <c r="R38" s="1499" t="s">
        <v>8</v>
      </c>
      <c r="S38" s="1500">
        <f t="shared" si="10"/>
        <v>100</v>
      </c>
      <c r="T38" s="1499" t="s">
        <v>8</v>
      </c>
      <c r="U38" s="1500">
        <f t="shared" si="11"/>
        <v>100</v>
      </c>
      <c r="V38" s="1499" t="s">
        <v>8</v>
      </c>
      <c r="W38" s="1500">
        <f t="shared" si="12"/>
        <v>100</v>
      </c>
      <c r="X38" s="1501"/>
      <c r="Y38" s="3695"/>
      <c r="Z38" s="1131" t="str">
        <f t="shared" si="13"/>
        <v>宗地开发程度</v>
      </c>
      <c r="AA38" s="1502">
        <f t="shared" si="3"/>
        <v>1</v>
      </c>
      <c r="AB38" s="1502">
        <f t="shared" si="4"/>
        <v>1</v>
      </c>
      <c r="AC38" s="1502">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695" t="s">
        <v>595</v>
      </c>
      <c r="Q39" s="1503" t="str">
        <f t="shared" si="14"/>
        <v>工程地质条件</v>
      </c>
      <c r="R39" s="1504" t="s">
        <v>8</v>
      </c>
      <c r="S39" s="1505">
        <f t="shared" si="10"/>
        <v>100</v>
      </c>
      <c r="T39" s="1504" t="s">
        <v>8</v>
      </c>
      <c r="U39" s="1505">
        <f t="shared" si="11"/>
        <v>100</v>
      </c>
      <c r="V39" s="1504" t="s">
        <v>8</v>
      </c>
      <c r="W39" s="1505">
        <f t="shared" si="12"/>
        <v>100</v>
      </c>
      <c r="X39" s="1498"/>
      <c r="Y39" s="3695" t="s">
        <v>595</v>
      </c>
      <c r="Z39" s="1506" t="str">
        <f t="shared" si="13"/>
        <v>工程地质条件</v>
      </c>
      <c r="AA39" s="1507">
        <f t="shared" si="3"/>
        <v>1</v>
      </c>
      <c r="AB39" s="1507">
        <f t="shared" si="4"/>
        <v>1</v>
      </c>
      <c r="AC39" s="1507">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1"/>
      <c r="M40" s="2013"/>
      <c r="N40" s="2013"/>
      <c r="O40" s="2020"/>
      <c r="P40" s="3695"/>
      <c r="Q40" s="1503">
        <f t="shared" si="14"/>
        <v>111</v>
      </c>
      <c r="R40" s="1504" t="s">
        <v>8</v>
      </c>
      <c r="S40" s="1505">
        <f t="shared" si="10"/>
        <v>100</v>
      </c>
      <c r="T40" s="1504" t="s">
        <v>8</v>
      </c>
      <c r="U40" s="1505">
        <f t="shared" si="11"/>
        <v>100</v>
      </c>
      <c r="V40" s="1504" t="s">
        <v>8</v>
      </c>
      <c r="W40" s="1505">
        <f t="shared" si="12"/>
        <v>100</v>
      </c>
      <c r="X40" s="1498"/>
      <c r="Y40" s="3695"/>
      <c r="Z40" s="1506">
        <f t="shared" si="13"/>
        <v>111</v>
      </c>
      <c r="AA40" s="1507">
        <f t="shared" si="3"/>
        <v>1</v>
      </c>
      <c r="AB40" s="1507">
        <f t="shared" si="4"/>
        <v>1</v>
      </c>
      <c r="AC40" s="1507">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1"/>
      <c r="M41" s="2013"/>
      <c r="N41" s="2013"/>
      <c r="O41" s="2020"/>
      <c r="P41" s="3695"/>
      <c r="Q41" s="1503">
        <f t="shared" si="14"/>
        <v>111</v>
      </c>
      <c r="R41" s="1504" t="s">
        <v>8</v>
      </c>
      <c r="S41" s="1505">
        <f t="shared" si="10"/>
        <v>100</v>
      </c>
      <c r="T41" s="1504" t="s">
        <v>8</v>
      </c>
      <c r="U41" s="1505">
        <f t="shared" si="11"/>
        <v>100</v>
      </c>
      <c r="V41" s="1504" t="s">
        <v>8</v>
      </c>
      <c r="W41" s="1505">
        <f t="shared" si="12"/>
        <v>100</v>
      </c>
      <c r="X41" s="1498"/>
      <c r="Y41" s="3695"/>
      <c r="Z41" s="1506">
        <f t="shared" si="13"/>
        <v>111</v>
      </c>
      <c r="AA41" s="1507">
        <f t="shared" si="3"/>
        <v>1</v>
      </c>
      <c r="AB41" s="1507">
        <f t="shared" si="4"/>
        <v>1</v>
      </c>
      <c r="AC41" s="1507">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9"/>
      <c r="M42" s="2049"/>
      <c r="N42" s="2049"/>
      <c r="O42" s="2022"/>
      <c r="P42" s="3695"/>
      <c r="Q42" s="1503">
        <f t="shared" si="14"/>
        <v>111</v>
      </c>
      <c r="R42" s="1508" t="s">
        <v>8</v>
      </c>
      <c r="S42" s="1509">
        <f t="shared" si="10"/>
        <v>100</v>
      </c>
      <c r="T42" s="1508" t="s">
        <v>8</v>
      </c>
      <c r="U42" s="1509">
        <f t="shared" si="11"/>
        <v>100</v>
      </c>
      <c r="V42" s="1508" t="s">
        <v>8</v>
      </c>
      <c r="W42" s="1509">
        <f t="shared" si="12"/>
        <v>100</v>
      </c>
      <c r="X42" s="1510"/>
      <c r="Y42" s="3695"/>
      <c r="Z42" s="1511">
        <f t="shared" si="13"/>
        <v>111</v>
      </c>
      <c r="AA42" s="1507">
        <f t="shared" si="3"/>
        <v>1</v>
      </c>
      <c r="AB42" s="1507">
        <f t="shared" si="4"/>
        <v>1</v>
      </c>
      <c r="AC42" s="1507">
        <f t="shared" si="5"/>
        <v>1</v>
      </c>
    </row>
    <row r="43" spans="1:29" ht="15">
      <c r="A43" s="601" t="s">
        <v>550</v>
      </c>
      <c r="B43" s="602" t="s">
        <v>2895</v>
      </c>
      <c r="C43" s="603" t="s">
        <v>1</v>
      </c>
      <c r="D43" s="604"/>
      <c r="E43" s="605"/>
      <c r="F43" s="606"/>
      <c r="G43" s="607"/>
      <c r="H43" s="608"/>
      <c r="I43" s="605"/>
      <c r="J43" s="608"/>
      <c r="K43" s="1292"/>
      <c r="L43" s="2023"/>
      <c r="M43" s="2013"/>
      <c r="N43" s="2013"/>
      <c r="O43" s="2024"/>
      <c r="P43" s="3658" t="str">
        <f>A43</f>
        <v>成交单价</v>
      </c>
      <c r="Q43" s="3658"/>
      <c r="R43" s="3659">
        <f>E43</f>
        <v>0</v>
      </c>
      <c r="S43" s="3659"/>
      <c r="T43" s="3659">
        <f>G43</f>
        <v>0</v>
      </c>
      <c r="U43" s="3659"/>
      <c r="V43" s="3659">
        <f>I43</f>
        <v>0</v>
      </c>
      <c r="W43" s="3659"/>
      <c r="X43" s="1493"/>
      <c r="Y43" s="1512"/>
      <c r="Z43" s="1493"/>
      <c r="AA43" s="1493"/>
      <c r="AB43" s="1493"/>
      <c r="AC43" s="1493"/>
    </row>
    <row r="44" spans="1:29" ht="15.75" thickBot="1">
      <c r="A44" s="609" t="s">
        <v>2670</v>
      </c>
      <c r="B44" s="610"/>
      <c r="C44" s="611" t="e">
        <f>R45</f>
        <v>#DIV/0!</v>
      </c>
      <c r="D44" s="3011" t="s">
        <v>2964</v>
      </c>
      <c r="E44" s="611" t="e">
        <f>R44</f>
        <v>#DIV/0!</v>
      </c>
      <c r="F44" s="3012"/>
      <c r="G44" s="612" t="e">
        <f>T44</f>
        <v>#DIV/0!</v>
      </c>
      <c r="H44" s="3012"/>
      <c r="I44" s="611" t="e">
        <f>V44</f>
        <v>#DIV/0!</v>
      </c>
      <c r="J44" s="3012"/>
      <c r="K44" s="3013">
        <f>F44+H44+J44</f>
        <v>0</v>
      </c>
      <c r="L44" s="2023"/>
      <c r="M44" s="2013"/>
      <c r="N44" s="2013"/>
      <c r="O44" s="2024"/>
      <c r="P44" s="3658" t="str">
        <f>A44</f>
        <v>比较价格（元/平方米）</v>
      </c>
      <c r="Q44" s="3658"/>
      <c r="R44" s="3660" t="e">
        <f>ROUND(PRODUCT(R43,AA9:AA42),0)</f>
        <v>#DIV/0!</v>
      </c>
      <c r="S44" s="3660"/>
      <c r="T44" s="3660" t="e">
        <f>ROUND(PRODUCT(T43,AB9:AB42),0)</f>
        <v>#DIV/0!</v>
      </c>
      <c r="U44" s="3660"/>
      <c r="V44" s="3660" t="e">
        <f>ROUND(PRODUCT(V43,AC9:AC42),0)</f>
        <v>#DIV/0!</v>
      </c>
      <c r="W44" s="3660"/>
      <c r="X44" s="1493"/>
      <c r="Y44" s="1493"/>
      <c r="Z44" s="1493"/>
      <c r="AA44" s="1493"/>
      <c r="AB44" s="1493"/>
      <c r="AC44" s="1493"/>
    </row>
    <row r="45" spans="1:29" ht="15.75" thickBot="1">
      <c r="A45" s="613" t="s">
        <v>2896</v>
      </c>
      <c r="B45" s="614"/>
      <c r="C45" s="615" t="e">
        <f>R45</f>
        <v>#DIV/0!</v>
      </c>
      <c r="D45" s="615"/>
      <c r="E45" s="615"/>
      <c r="F45" s="615"/>
      <c r="G45" s="615"/>
      <c r="H45" s="615"/>
      <c r="I45" s="615"/>
      <c r="J45" s="615"/>
      <c r="K45" s="1293"/>
      <c r="L45" s="2023"/>
      <c r="M45" s="2013"/>
      <c r="N45" s="2013"/>
      <c r="O45" s="2024"/>
      <c r="P45" s="3655" t="str">
        <f>A45</f>
        <v>估价对象XX用房的比较价格（楼面单价，元/平方米）</v>
      </c>
      <c r="Q45" s="3656"/>
      <c r="R45" s="3707" t="e">
        <f>ROUND(IF(D44="简单平均",AVERAGE(R44:W44),R44*F44+T44*H44+V44*J44),0)</f>
        <v>#DIV/0!</v>
      </c>
      <c r="S45" s="3707"/>
      <c r="T45" s="3707"/>
      <c r="U45" s="3707"/>
      <c r="V45" s="3707"/>
      <c r="W45" s="3707"/>
      <c r="X45" s="1493"/>
      <c r="Y45" s="1493"/>
      <c r="Z45" s="1493"/>
      <c r="AA45" s="1493"/>
      <c r="AB45" s="1493"/>
      <c r="AC45" s="1493"/>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1" t="s">
        <v>554</v>
      </c>
      <c r="B52" s="622" t="s">
        <v>555</v>
      </c>
      <c r="C52" s="1494" t="s">
        <v>1714</v>
      </c>
      <c r="D52" s="2104" t="s">
        <v>2279</v>
      </c>
      <c r="E52" s="623" t="s">
        <v>556</v>
      </c>
      <c r="F52" s="1862" t="s">
        <v>557</v>
      </c>
      <c r="G52" s="3702" t="s">
        <v>2270</v>
      </c>
      <c r="H52" s="3703"/>
      <c r="I52" s="1863" t="s">
        <v>1933</v>
      </c>
      <c r="J52" s="1490" t="str">
        <f>项目基本情况!F41</f>
        <v>湖北省武汉市</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5" t="s">
        <v>558</v>
      </c>
      <c r="B53" s="626" t="e">
        <f>C45</f>
        <v>#DIV/0!</v>
      </c>
      <c r="C53" s="627">
        <v>1</v>
      </c>
      <c r="D53" s="2105">
        <v>1</v>
      </c>
      <c r="E53" s="627">
        <f>'数据-汇总表'!E8+'数据-汇总表'!E9</f>
        <v>137194.27000000002</v>
      </c>
      <c r="F53" s="1861" t="e">
        <f t="shared" ref="F53:F62" si="15">ROUND(B53*E53/10000,0)</f>
        <v>#DIV/0!</v>
      </c>
      <c r="G53" s="3704"/>
      <c r="H53" s="3705"/>
      <c r="I53" s="1864">
        <v>1</v>
      </c>
      <c r="J53" s="1491">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9" t="s">
        <v>559</v>
      </c>
      <c r="B54" s="630" t="e">
        <f>ROUND($C$45*C54*D54,0)</f>
        <v>#DIV/0!</v>
      </c>
      <c r="C54" s="372">
        <f t="shared" ref="C54:C62" si="16">IF($C$52="北京市系数",I54,J54)</f>
        <v>0</v>
      </c>
      <c r="D54" s="2106">
        <v>0.25</v>
      </c>
      <c r="E54" s="631"/>
      <c r="F54" s="1861" t="e">
        <f t="shared" si="15"/>
        <v>#DIV/0!</v>
      </c>
      <c r="G54" s="3706" t="s">
        <v>2271</v>
      </c>
      <c r="H54" s="1865">
        <f>项目基本情况!B43</f>
        <v>0</v>
      </c>
      <c r="I54" s="1864">
        <f>SUMIF(修正!$A$45:$A$56,H54,修正!B45:B56)</f>
        <v>0</v>
      </c>
      <c r="J54" s="1492"/>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9" t="s">
        <v>560</v>
      </c>
      <c r="B55" s="630" t="e">
        <f t="shared" ref="B55:B62" si="17">ROUND($C$45*C55*D55,0)</f>
        <v>#DIV/0!</v>
      </c>
      <c r="C55" s="372">
        <f t="shared" si="16"/>
        <v>0</v>
      </c>
      <c r="D55" s="2106">
        <v>0.25</v>
      </c>
      <c r="E55" s="631"/>
      <c r="F55" s="1861" t="e">
        <f t="shared" si="15"/>
        <v>#DIV/0!</v>
      </c>
      <c r="G55" s="3706"/>
      <c r="H55" s="1866">
        <f>项目基本情况!B43</f>
        <v>0</v>
      </c>
      <c r="I55" s="1864">
        <f>SUMIF(修正!$A$45:$A$56,H55,修正!C45:C56)</f>
        <v>0</v>
      </c>
      <c r="J55" s="1492"/>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9" t="s">
        <v>561</v>
      </c>
      <c r="B56" s="630" t="e">
        <f t="shared" si="17"/>
        <v>#DIV/0!</v>
      </c>
      <c r="C56" s="372">
        <f t="shared" si="16"/>
        <v>0</v>
      </c>
      <c r="D56" s="2106">
        <v>0.25</v>
      </c>
      <c r="E56" s="631"/>
      <c r="F56" s="1861" t="e">
        <f t="shared" si="15"/>
        <v>#DIV/0!</v>
      </c>
      <c r="G56" s="3706"/>
      <c r="H56" s="1866">
        <f>项目基本情况!B43</f>
        <v>0</v>
      </c>
      <c r="I56" s="1864">
        <f>SUMIF(修正!$A$45:$A$56,H56,修正!D45:D56)</f>
        <v>0</v>
      </c>
      <c r="J56" s="1492"/>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9" t="s">
        <v>562</v>
      </c>
      <c r="B57" s="630" t="e">
        <f t="shared" si="17"/>
        <v>#DIV/0!</v>
      </c>
      <c r="C57" s="372">
        <f t="shared" si="16"/>
        <v>0</v>
      </c>
      <c r="D57" s="2106">
        <v>0.25</v>
      </c>
      <c r="E57" s="631"/>
      <c r="F57" s="1861" t="e">
        <f t="shared" si="15"/>
        <v>#DIV/0!</v>
      </c>
      <c r="G57" s="3706"/>
      <c r="H57" s="1866">
        <f>项目基本情况!B43</f>
        <v>0</v>
      </c>
      <c r="I57" s="1864">
        <f>SUMIF(修正!$A$45:$A$56,H57,修正!E45:E56)</f>
        <v>0</v>
      </c>
      <c r="J57" s="1492"/>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2314</v>
      </c>
      <c r="B58" s="630" t="e">
        <f t="shared" si="17"/>
        <v>#DIV/0!</v>
      </c>
      <c r="C58" s="372">
        <f t="shared" si="16"/>
        <v>0</v>
      </c>
      <c r="D58" s="2106">
        <v>0.25</v>
      </c>
      <c r="E58" s="633">
        <f>'数据-汇总表'!E11</f>
        <v>0</v>
      </c>
      <c r="F58" s="1861" t="e">
        <f t="shared" si="15"/>
        <v>#DIV/0!</v>
      </c>
      <c r="G58" s="1867" t="s">
        <v>2272</v>
      </c>
      <c r="H58" s="1866">
        <f>项目基本情况!C43</f>
        <v>0</v>
      </c>
      <c r="I58" s="1864">
        <f>SUMIF(修正!$A$45:$A$56,H58,修正!F45:F56)</f>
        <v>0</v>
      </c>
      <c r="J58" s="1492"/>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563</v>
      </c>
      <c r="B59" s="630" t="e">
        <f t="shared" si="17"/>
        <v>#DIV/0!</v>
      </c>
      <c r="C59" s="372">
        <f t="shared" si="16"/>
        <v>0</v>
      </c>
      <c r="D59" s="2106">
        <v>0.25</v>
      </c>
      <c r="E59" s="633">
        <f>'数据-汇总表'!E12</f>
        <v>0</v>
      </c>
      <c r="F59" s="1861" t="e">
        <f t="shared" si="15"/>
        <v>#DIV/0!</v>
      </c>
      <c r="G59" s="1857" t="s">
        <v>1667</v>
      </c>
      <c r="H59" s="1865">
        <f>IF(G59="商业",项目基本情况!B43,IF(G59="办公",项目基本情况!C43,IF(G59="住宅",项目基本情况!D43,项目基本情况!E43)))</f>
        <v>0</v>
      </c>
      <c r="I59" s="1864">
        <f>SUMIF(修正!$A$45:$A$56,H59,修正!G45:G56)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564</v>
      </c>
      <c r="B60" s="630" t="e">
        <f t="shared" si="17"/>
        <v>#DIV/0!</v>
      </c>
      <c r="C60" s="372">
        <f t="shared" si="16"/>
        <v>0</v>
      </c>
      <c r="D60" s="2106">
        <v>0.25</v>
      </c>
      <c r="E60" s="633">
        <f>'数据-汇总表'!E13</f>
        <v>38416.43</v>
      </c>
      <c r="F60" s="1861" t="e">
        <f t="shared" si="15"/>
        <v>#DIV/0!</v>
      </c>
      <c r="G60" s="1857" t="s">
        <v>913</v>
      </c>
      <c r="H60" s="1865">
        <f>IF(G60="商业",项目基本情况!B43,IF(G60="办公",项目基本情况!C43,IF(G60="住宅",项目基本情况!D43,项目基本情况!E43)))</f>
        <v>0</v>
      </c>
      <c r="I60" s="1864">
        <f>SUMIF(修正!$A$45:$A$56,H60,修正!H45:H56)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565</v>
      </c>
      <c r="B61" s="630" t="e">
        <f t="shared" si="17"/>
        <v>#DIV/0!</v>
      </c>
      <c r="C61" s="372">
        <f t="shared" si="16"/>
        <v>0</v>
      </c>
      <c r="D61" s="2106">
        <v>0.25</v>
      </c>
      <c r="E61" s="633">
        <f>'数据-汇总表'!E14</f>
        <v>0</v>
      </c>
      <c r="F61" s="1861" t="e">
        <f t="shared" si="15"/>
        <v>#DIV/0!</v>
      </c>
      <c r="G61" s="1867" t="s">
        <v>2271</v>
      </c>
      <c r="H61" s="1866">
        <f>项目基本情况!B43</f>
        <v>0</v>
      </c>
      <c r="I61" s="1864">
        <f>SUMIF(修正!$A$45:$A$56,H61,修正!H45:H56)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9" t="s">
        <v>566</v>
      </c>
      <c r="B62" s="630" t="e">
        <f t="shared" si="17"/>
        <v>#DIV/0!</v>
      </c>
      <c r="C62" s="372">
        <f t="shared" si="16"/>
        <v>0</v>
      </c>
      <c r="D62" s="2106">
        <v>0.25</v>
      </c>
      <c r="E62" s="633">
        <f>'数据-汇总表'!E15</f>
        <v>0</v>
      </c>
      <c r="F62" s="1861" t="e">
        <f t="shared" si="15"/>
        <v>#DIV/0!</v>
      </c>
      <c r="G62" s="1868" t="s">
        <v>2272</v>
      </c>
      <c r="H62" s="1869">
        <f>项目基本情况!C43</f>
        <v>0</v>
      </c>
      <c r="I62" s="1864">
        <f>SUMIF(修正!$A$45:$A$56,H62,修正!H45:H56)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4" t="s">
        <v>567</v>
      </c>
      <c r="B63" s="635" t="s">
        <v>17</v>
      </c>
      <c r="C63" s="635" t="s">
        <v>18</v>
      </c>
      <c r="D63" s="635" t="s">
        <v>2280</v>
      </c>
      <c r="E63" s="635">
        <f>IF(B43="楼面地价",SUM(E53:E62),'数据-汇总表'!D3)</f>
        <v>19463.21</v>
      </c>
      <c r="F63" s="636"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2021-6-1</v>
      </c>
      <c r="D65" s="2513">
        <f>EDATE(C65,-3)</f>
        <v>44256</v>
      </c>
      <c r="E65" s="2513">
        <f t="shared" ref="E65:N65" si="18">EDATE(D65,-3)</f>
        <v>44166</v>
      </c>
      <c r="F65" s="2513">
        <f t="shared" si="18"/>
        <v>44075</v>
      </c>
      <c r="G65" s="2513">
        <f t="shared" si="18"/>
        <v>43983</v>
      </c>
      <c r="H65" s="2513">
        <f t="shared" si="18"/>
        <v>43891</v>
      </c>
      <c r="I65" s="2513">
        <f t="shared" si="18"/>
        <v>43800</v>
      </c>
      <c r="J65" s="2513">
        <f t="shared" si="18"/>
        <v>43709</v>
      </c>
      <c r="K65" s="2513">
        <f t="shared" si="18"/>
        <v>43617</v>
      </c>
      <c r="L65" s="2513">
        <f t="shared" si="18"/>
        <v>43525</v>
      </c>
      <c r="M65" s="2513">
        <f t="shared" si="18"/>
        <v>43435</v>
      </c>
      <c r="N65" s="2513">
        <f t="shared" si="18"/>
        <v>43344</v>
      </c>
      <c r="O65" s="2024"/>
      <c r="P65" s="2024"/>
      <c r="Q65" s="2024"/>
      <c r="R65" s="2024"/>
      <c r="S65" s="2024"/>
      <c r="T65" s="2024"/>
      <c r="U65" s="2024"/>
      <c r="V65" s="2024"/>
      <c r="W65" s="2024"/>
      <c r="X65" s="2024"/>
      <c r="Y65" s="2024"/>
      <c r="Z65" s="2024"/>
      <c r="AA65" s="2024"/>
      <c r="AB65" s="2024"/>
      <c r="AC65" s="2024"/>
    </row>
    <row r="66" spans="1:29" ht="21.75" thickBot="1">
      <c r="A66" s="1515" t="s">
        <v>568</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8"/>
      <c r="C67" s="2510" t="str">
        <f>YEAR(C65)&amp;"-"&amp;ROUNDUP(MONTH(C65)/3,0)</f>
        <v>2021-2</v>
      </c>
      <c r="D67" s="2515" t="str">
        <f t="shared" ref="D67:N67" si="19">YEAR(D65)&amp;"-"&amp;ROUNDUP(MONTH(D65)/3,0)</f>
        <v>2021-1</v>
      </c>
      <c r="E67" s="2515" t="str">
        <f t="shared" si="19"/>
        <v>2020-4</v>
      </c>
      <c r="F67" s="2515" t="str">
        <f t="shared" si="19"/>
        <v>2020-3</v>
      </c>
      <c r="G67" s="2515" t="str">
        <f t="shared" si="19"/>
        <v>2020-2</v>
      </c>
      <c r="H67" s="2515" t="str">
        <f t="shared" si="19"/>
        <v>2020-1</v>
      </c>
      <c r="I67" s="2515" t="str">
        <f t="shared" si="19"/>
        <v>2019-4</v>
      </c>
      <c r="J67" s="2515" t="str">
        <f t="shared" si="19"/>
        <v>2019-3</v>
      </c>
      <c r="K67" s="2515" t="str">
        <f t="shared" si="19"/>
        <v>2019-2</v>
      </c>
      <c r="L67" s="2515" t="str">
        <f t="shared" si="19"/>
        <v>2019-1</v>
      </c>
      <c r="M67" s="2515" t="str">
        <f t="shared" si="19"/>
        <v>2018-4</v>
      </c>
      <c r="N67" s="2515" t="str">
        <f t="shared" si="19"/>
        <v>2018-3</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2626</v>
      </c>
      <c r="B68" s="473" t="str">
        <f>"北京市平均增长率"&amp;TEXT(基准地价!P24,"0.00%")</f>
        <v>北京市平均增长率0.00%</v>
      </c>
      <c r="C68" s="883">
        <v>100</v>
      </c>
      <c r="D68" s="722"/>
      <c r="E68" s="722"/>
      <c r="F68" s="722"/>
      <c r="G68" s="722"/>
      <c r="H68" s="722"/>
      <c r="I68" s="722"/>
      <c r="J68" s="722"/>
      <c r="K68" s="722"/>
      <c r="L68" s="722"/>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5" t="s">
        <v>569</v>
      </c>
      <c r="B69" s="646"/>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51" t="s">
        <v>525</v>
      </c>
      <c r="B70" s="640"/>
      <c r="C70" s="652" t="s">
        <v>570</v>
      </c>
      <c r="D70" s="653"/>
      <c r="E70" s="653"/>
      <c r="F70" s="653"/>
      <c r="G70" s="653"/>
      <c r="H70" s="653"/>
      <c r="I70" s="653"/>
      <c r="J70" s="653"/>
      <c r="K70" s="653"/>
      <c r="L70" s="654"/>
      <c r="M70" s="655"/>
      <c r="N70" s="3225"/>
      <c r="O70" s="2040"/>
      <c r="P70" s="2041"/>
      <c r="Q70" s="2036"/>
      <c r="R70" s="1902"/>
      <c r="S70" s="1902"/>
      <c r="T70" s="1902"/>
      <c r="U70" s="1902"/>
      <c r="V70" s="1902"/>
      <c r="W70" s="1902"/>
      <c r="X70" s="1902"/>
      <c r="Y70" s="1902"/>
      <c r="Z70" s="1902"/>
      <c r="AA70" s="1902"/>
      <c r="AB70" s="1902"/>
      <c r="AC70" s="1902"/>
    </row>
    <row r="71" spans="1:29" s="1201" customFormat="1" ht="15.75" thickBot="1">
      <c r="A71" s="651"/>
      <c r="B71" s="640"/>
      <c r="C71" s="641">
        <v>100</v>
      </c>
      <c r="D71" s="642"/>
      <c r="E71" s="642"/>
      <c r="F71" s="642"/>
      <c r="G71" s="642"/>
      <c r="H71" s="642"/>
      <c r="I71" s="642"/>
      <c r="J71" s="642"/>
      <c r="K71" s="642"/>
      <c r="L71" s="642"/>
      <c r="M71" s="644"/>
      <c r="N71" s="3225"/>
      <c r="O71" s="2040"/>
      <c r="P71" s="2036"/>
      <c r="Q71" s="2036"/>
      <c r="R71" s="1902"/>
      <c r="S71" s="1902"/>
      <c r="T71" s="1902"/>
      <c r="U71" s="1902"/>
      <c r="V71" s="1902"/>
      <c r="W71" s="1902"/>
      <c r="X71" s="1902"/>
      <c r="Y71" s="1902"/>
      <c r="Z71" s="1902"/>
      <c r="AA71" s="1902"/>
      <c r="AB71" s="1902"/>
      <c r="AC71" s="1902"/>
    </row>
    <row r="72" spans="1:29">
      <c r="A72" s="656" t="s">
        <v>571</v>
      </c>
      <c r="B72" s="657" t="s">
        <v>528</v>
      </c>
      <c r="C72" s="592"/>
      <c r="D72" s="592"/>
      <c r="E72" s="592"/>
      <c r="F72" s="592"/>
      <c r="G72" s="592"/>
      <c r="H72" s="592"/>
      <c r="I72" s="592"/>
      <c r="J72" s="592"/>
      <c r="K72" s="658"/>
      <c r="L72" s="659"/>
      <c r="M72" s="660"/>
      <c r="N72" s="3226"/>
      <c r="O72" s="2042"/>
      <c r="P72" s="2043"/>
      <c r="Q72" s="2036"/>
      <c r="R72" s="2024"/>
      <c r="S72" s="2024"/>
      <c r="T72" s="2024"/>
      <c r="U72" s="2024"/>
      <c r="V72" s="2024"/>
      <c r="W72" s="2024"/>
      <c r="X72" s="2024"/>
      <c r="Y72" s="2024"/>
      <c r="Z72" s="2024"/>
      <c r="AA72" s="2024"/>
      <c r="AB72" s="2024"/>
      <c r="AC72" s="2024"/>
    </row>
    <row r="73" spans="1:29" ht="15.75" thickBot="1">
      <c r="A73" s="661"/>
      <c r="B73" s="662"/>
      <c r="C73" s="663"/>
      <c r="D73" s="663"/>
      <c r="E73" s="663"/>
      <c r="F73" s="663"/>
      <c r="G73" s="663"/>
      <c r="H73" s="663"/>
      <c r="I73" s="663"/>
      <c r="J73" s="663"/>
      <c r="K73" s="663"/>
      <c r="L73" s="663"/>
      <c r="M73" s="664"/>
      <c r="N73" s="3227"/>
      <c r="O73" s="2044"/>
      <c r="P73" s="2043"/>
      <c r="Q73" s="2036"/>
      <c r="R73" s="2024"/>
      <c r="S73" s="2024"/>
      <c r="T73" s="2024"/>
      <c r="U73" s="2024"/>
      <c r="V73" s="2024"/>
      <c r="W73" s="2024"/>
      <c r="X73" s="2024"/>
      <c r="Y73" s="2024"/>
      <c r="Z73" s="2024"/>
      <c r="AA73" s="2024"/>
      <c r="AB73" s="2024"/>
      <c r="AC73" s="2024"/>
    </row>
    <row r="74" spans="1:29" ht="27.75" thickTop="1">
      <c r="A74" s="661"/>
      <c r="B74" s="665" t="s">
        <v>531</v>
      </c>
      <c r="C74" s="666"/>
      <c r="D74" s="666"/>
      <c r="E74" s="666"/>
      <c r="F74" s="666"/>
      <c r="G74" s="666"/>
      <c r="H74" s="666"/>
      <c r="I74" s="666"/>
      <c r="J74" s="666"/>
      <c r="K74" s="667"/>
      <c r="L74" s="668"/>
      <c r="M74" s="669"/>
      <c r="N74" s="3226"/>
      <c r="O74" s="2042"/>
      <c r="P74" s="2043"/>
      <c r="Q74" s="2036"/>
      <c r="R74" s="2024"/>
      <c r="S74" s="2024"/>
      <c r="T74" s="2024"/>
      <c r="U74" s="2024"/>
      <c r="V74" s="2024"/>
      <c r="W74" s="2024"/>
      <c r="X74" s="2024"/>
      <c r="Y74" s="2024"/>
      <c r="Z74" s="2024"/>
      <c r="AA74" s="2024"/>
      <c r="AB74" s="2024"/>
      <c r="AC74" s="2024"/>
    </row>
    <row r="75" spans="1:29" ht="15.75" thickBot="1">
      <c r="A75" s="661"/>
      <c r="B75" s="670"/>
      <c r="C75" s="671"/>
      <c r="D75" s="671"/>
      <c r="E75" s="671"/>
      <c r="F75" s="671"/>
      <c r="G75" s="671"/>
      <c r="H75" s="671"/>
      <c r="I75" s="671"/>
      <c r="J75" s="671"/>
      <c r="K75" s="671"/>
      <c r="L75" s="671"/>
      <c r="M75" s="672"/>
      <c r="N75" s="3227"/>
      <c r="O75" s="2044"/>
      <c r="P75" s="2043"/>
      <c r="Q75" s="2036"/>
      <c r="R75" s="2024"/>
      <c r="S75" s="2024"/>
      <c r="T75" s="2024"/>
      <c r="U75" s="2024"/>
      <c r="V75" s="2024"/>
      <c r="W75" s="2024"/>
      <c r="X75" s="2024"/>
      <c r="Y75" s="2024"/>
      <c r="Z75" s="2024"/>
      <c r="AA75" s="2024"/>
      <c r="AB75" s="2024"/>
      <c r="AC75" s="2024"/>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1"/>
      <c r="B77" s="675"/>
      <c r="C77" s="535"/>
      <c r="D77" s="535"/>
      <c r="E77" s="535"/>
      <c r="F77" s="535"/>
      <c r="G77" s="535"/>
      <c r="H77" s="535"/>
      <c r="I77" s="535"/>
      <c r="J77" s="535"/>
      <c r="K77" s="676"/>
      <c r="L77" s="677"/>
      <c r="M77" s="678"/>
      <c r="N77" s="3226"/>
      <c r="O77" s="2042"/>
      <c r="P77" s="2043"/>
      <c r="Q77" s="2036"/>
      <c r="R77" s="2024"/>
      <c r="S77" s="2024"/>
      <c r="T77" s="2024"/>
      <c r="U77" s="2024"/>
      <c r="V77" s="2024"/>
      <c r="W77" s="2024"/>
      <c r="X77" s="2024"/>
      <c r="Y77" s="2024"/>
      <c r="Z77" s="2024"/>
      <c r="AA77" s="2024"/>
      <c r="AB77" s="2024"/>
      <c r="AC77" s="2024"/>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9"/>
      <c r="B79" s="665">
        <f>B14</f>
        <v>111</v>
      </c>
      <c r="C79" s="680"/>
      <c r="D79" s="680"/>
      <c r="E79" s="680"/>
      <c r="F79" s="680"/>
      <c r="G79" s="680"/>
      <c r="H79" s="681"/>
      <c r="I79" s="681"/>
      <c r="J79" s="681"/>
      <c r="K79" s="681"/>
      <c r="L79" s="682"/>
      <c r="M79" s="683"/>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9"/>
      <c r="B80" s="670"/>
      <c r="C80" s="684"/>
      <c r="D80" s="663"/>
      <c r="E80" s="663"/>
      <c r="F80" s="663"/>
      <c r="G80" s="663"/>
      <c r="H80" s="663"/>
      <c r="I80" s="663"/>
      <c r="J80" s="663"/>
      <c r="K80" s="663"/>
      <c r="L80" s="663"/>
      <c r="M80" s="664"/>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9"/>
      <c r="B81" s="665">
        <f>B15</f>
        <v>111</v>
      </c>
      <c r="C81" s="680"/>
      <c r="D81" s="680"/>
      <c r="E81" s="680"/>
      <c r="F81" s="680"/>
      <c r="G81" s="680"/>
      <c r="H81" s="681"/>
      <c r="I81" s="681"/>
      <c r="J81" s="681"/>
      <c r="K81" s="681"/>
      <c r="L81" s="682"/>
      <c r="M81" s="683"/>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9"/>
      <c r="B82" s="670"/>
      <c r="C82" s="684"/>
      <c r="D82" s="684"/>
      <c r="E82" s="684"/>
      <c r="F82" s="684"/>
      <c r="G82" s="684"/>
      <c r="H82" s="685"/>
      <c r="I82" s="685"/>
      <c r="J82" s="685"/>
      <c r="K82" s="685"/>
      <c r="L82" s="685"/>
      <c r="M82" s="686"/>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9"/>
      <c r="B83" s="673">
        <f>B16</f>
        <v>111</v>
      </c>
      <c r="C83" s="653"/>
      <c r="D83" s="653"/>
      <c r="E83" s="653"/>
      <c r="F83" s="653"/>
      <c r="G83" s="653"/>
      <c r="H83" s="687"/>
      <c r="I83" s="687"/>
      <c r="J83" s="687"/>
      <c r="K83" s="687"/>
      <c r="L83" s="688"/>
      <c r="M83" s="689"/>
      <c r="N83" s="3228"/>
      <c r="O83" s="2045"/>
      <c r="P83" s="2051"/>
      <c r="Q83" s="2047"/>
      <c r="R83" s="2048"/>
      <c r="S83" s="2048"/>
      <c r="T83" s="2048"/>
      <c r="U83" s="2048"/>
      <c r="V83" s="2048"/>
      <c r="W83" s="2048"/>
      <c r="X83" s="2048"/>
      <c r="Y83" s="2048"/>
      <c r="Z83" s="2048"/>
      <c r="AA83" s="2048"/>
      <c r="AB83" s="2048"/>
      <c r="AC83" s="2048"/>
    </row>
    <row r="84" spans="1:29" s="1291" customFormat="1" ht="15.75" thickBot="1">
      <c r="A84" s="690"/>
      <c r="B84" s="691"/>
      <c r="C84" s="692"/>
      <c r="D84" s="692"/>
      <c r="E84" s="692"/>
      <c r="F84" s="692"/>
      <c r="G84" s="692"/>
      <c r="H84" s="693"/>
      <c r="I84" s="693"/>
      <c r="J84" s="693"/>
      <c r="K84" s="693"/>
      <c r="L84" s="693"/>
      <c r="M84" s="694"/>
      <c r="N84" s="3228"/>
      <c r="O84" s="2045"/>
      <c r="P84" s="2046"/>
      <c r="Q84" s="2047"/>
      <c r="R84" s="2048"/>
      <c r="S84" s="2048"/>
      <c r="T84" s="2048"/>
      <c r="U84" s="2048"/>
      <c r="V84" s="2048"/>
      <c r="W84" s="2048"/>
      <c r="X84" s="2048"/>
      <c r="Y84" s="2048"/>
      <c r="Z84" s="2048"/>
      <c r="AA84" s="2048"/>
      <c r="AB84" s="2048"/>
      <c r="AC84" s="2048"/>
    </row>
    <row r="85" spans="1:29">
      <c r="A85" s="656" t="s">
        <v>533</v>
      </c>
      <c r="B85" s="657" t="s">
        <v>596</v>
      </c>
      <c r="C85" s="695" t="s">
        <v>573</v>
      </c>
      <c r="D85" s="695" t="s">
        <v>574</v>
      </c>
      <c r="E85" s="695" t="s">
        <v>575</v>
      </c>
      <c r="F85" s="695" t="s">
        <v>576</v>
      </c>
      <c r="G85" s="695" t="s">
        <v>577</v>
      </c>
      <c r="H85" s="696"/>
      <c r="I85" s="696"/>
      <c r="J85" s="696"/>
      <c r="K85" s="697"/>
      <c r="L85" s="698"/>
      <c r="M85" s="699"/>
      <c r="N85" s="3226"/>
      <c r="O85" s="2042"/>
      <c r="P85" s="2052"/>
      <c r="Q85" s="2036"/>
      <c r="R85" s="2024"/>
      <c r="S85" s="2024"/>
      <c r="T85" s="2024"/>
      <c r="U85" s="2024"/>
      <c r="V85" s="2024"/>
      <c r="W85" s="2024"/>
      <c r="X85" s="2024"/>
      <c r="Y85" s="2024"/>
      <c r="Z85" s="2024"/>
      <c r="AA85" s="2024"/>
      <c r="AB85" s="2024"/>
      <c r="AC85" s="2024"/>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4"/>
      <c r="P86" s="2043"/>
      <c r="Q86" s="2036"/>
      <c r="R86" s="2024"/>
      <c r="S86" s="2024"/>
      <c r="T86" s="2024"/>
      <c r="U86" s="2024"/>
      <c r="V86" s="2024"/>
      <c r="W86" s="2024"/>
      <c r="X86" s="2024"/>
      <c r="Y86" s="2024"/>
      <c r="Z86" s="2024"/>
      <c r="AA86" s="2024"/>
      <c r="AB86" s="2024"/>
      <c r="AC86" s="2024"/>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2"/>
      <c r="P87" s="2043"/>
      <c r="Q87" s="2036"/>
      <c r="R87" s="2024"/>
      <c r="S87" s="2024"/>
      <c r="T87" s="2024"/>
      <c r="U87" s="2024"/>
      <c r="V87" s="2024"/>
      <c r="W87" s="2024"/>
      <c r="X87" s="2024"/>
      <c r="Y87" s="2024"/>
      <c r="Z87" s="2024"/>
      <c r="AA87" s="2024"/>
      <c r="AB87" s="2024"/>
      <c r="AC87" s="2024"/>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4"/>
      <c r="P88" s="2043"/>
      <c r="Q88" s="2036"/>
      <c r="R88" s="2024"/>
      <c r="S88" s="2024"/>
      <c r="T88" s="2024"/>
      <c r="U88" s="2024"/>
      <c r="V88" s="2024"/>
      <c r="W88" s="2024"/>
      <c r="X88" s="2024"/>
      <c r="Y88" s="2024"/>
      <c r="Z88" s="2024"/>
      <c r="AA88" s="2024"/>
      <c r="AB88" s="2024"/>
      <c r="AC88" s="2024"/>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5"/>
      <c r="O89" s="2040"/>
      <c r="P89" s="2043"/>
      <c r="Q89" s="2036"/>
      <c r="R89" s="1902"/>
      <c r="S89" s="1902"/>
      <c r="T89" s="1902"/>
      <c r="U89" s="1902"/>
      <c r="V89" s="1902"/>
      <c r="W89" s="1902"/>
      <c r="X89" s="1902"/>
      <c r="Y89" s="1902"/>
      <c r="Z89" s="1902"/>
      <c r="AA89" s="1902"/>
      <c r="AB89" s="1902"/>
      <c r="AC89" s="1902"/>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4"/>
      <c r="P90" s="2043"/>
      <c r="Q90" s="2036"/>
      <c r="R90" s="1902"/>
      <c r="S90" s="1902"/>
      <c r="T90" s="1902"/>
      <c r="U90" s="1902"/>
      <c r="V90" s="1902"/>
      <c r="W90" s="1902"/>
      <c r="X90" s="1902"/>
      <c r="Y90" s="1902"/>
      <c r="Z90" s="1902"/>
      <c r="AA90" s="1902"/>
      <c r="AB90" s="1902"/>
      <c r="AC90" s="1902"/>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5"/>
      <c r="O91" s="2040"/>
      <c r="P91" s="2043"/>
      <c r="Q91" s="2036"/>
      <c r="R91" s="1902"/>
      <c r="S91" s="1902"/>
      <c r="T91" s="1902"/>
      <c r="U91" s="1902"/>
      <c r="V91" s="1902"/>
      <c r="W91" s="1902"/>
      <c r="X91" s="1902"/>
      <c r="Y91" s="1902"/>
      <c r="Z91" s="1902"/>
      <c r="AA91" s="1902"/>
      <c r="AB91" s="1902"/>
      <c r="AC91" s="1902"/>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9"/>
      <c r="B93" s="1807" t="s">
        <v>2527</v>
      </c>
      <c r="C93" s="695" t="s">
        <v>573</v>
      </c>
      <c r="D93" s="695" t="s">
        <v>574</v>
      </c>
      <c r="E93" s="695" t="s">
        <v>575</v>
      </c>
      <c r="F93" s="695" t="s">
        <v>576</v>
      </c>
      <c r="G93" s="695" t="s">
        <v>577</v>
      </c>
      <c r="H93" s="705"/>
      <c r="I93" s="705"/>
      <c r="J93" s="705"/>
      <c r="K93" s="705"/>
      <c r="L93" s="706"/>
      <c r="M93" s="707"/>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9"/>
      <c r="B95" s="2438" t="s">
        <v>2529</v>
      </c>
      <c r="C95" s="2439" t="s">
        <v>2530</v>
      </c>
      <c r="D95" s="2439" t="s">
        <v>2531</v>
      </c>
      <c r="E95" s="2439" t="s">
        <v>2532</v>
      </c>
      <c r="F95" s="2439" t="s">
        <v>2533</v>
      </c>
      <c r="G95" s="2439" t="s">
        <v>2534</v>
      </c>
      <c r="H95" s="705"/>
      <c r="I95" s="705"/>
      <c r="J95" s="705"/>
      <c r="K95" s="705"/>
      <c r="L95" s="705"/>
      <c r="M95" s="707"/>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1"/>
      <c r="N96" s="3228"/>
      <c r="O96" s="2045"/>
      <c r="P96" s="2046"/>
      <c r="Q96" s="2047"/>
      <c r="R96" s="2048"/>
      <c r="S96" s="2048"/>
      <c r="T96" s="2048"/>
      <c r="U96" s="2048"/>
      <c r="V96" s="2048"/>
      <c r="W96" s="2048"/>
      <c r="X96" s="2048"/>
      <c r="Y96" s="2048"/>
      <c r="Z96" s="2048"/>
      <c r="AA96" s="2048"/>
      <c r="AB96" s="2048"/>
      <c r="AC96" s="2048"/>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2"/>
      <c r="P97" s="2043"/>
      <c r="Q97" s="2036"/>
      <c r="R97" s="2024"/>
      <c r="S97" s="2024"/>
      <c r="T97" s="2024"/>
      <c r="U97" s="2024"/>
      <c r="V97" s="2024"/>
      <c r="W97" s="2024"/>
      <c r="X97" s="2024"/>
      <c r="Y97" s="2024"/>
      <c r="Z97" s="2024"/>
      <c r="AA97" s="2024"/>
      <c r="AB97" s="2024"/>
      <c r="AC97" s="2024"/>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1"/>
      <c r="B99" s="665" t="s">
        <v>542</v>
      </c>
      <c r="C99" s="680"/>
      <c r="D99" s="680"/>
      <c r="E99" s="680"/>
      <c r="F99" s="680"/>
      <c r="G99" s="680"/>
      <c r="H99" s="710"/>
      <c r="I99" s="710"/>
      <c r="J99" s="710"/>
      <c r="K99" s="711"/>
      <c r="L99" s="712"/>
      <c r="M99" s="713"/>
      <c r="N99" s="3226"/>
      <c r="O99" s="2042"/>
      <c r="P99" s="2043"/>
      <c r="Q99" s="2036"/>
      <c r="R99" s="2024"/>
      <c r="S99" s="2024"/>
      <c r="T99" s="2024"/>
      <c r="U99" s="2024"/>
      <c r="V99" s="2024"/>
      <c r="W99" s="2024"/>
      <c r="X99" s="2024"/>
      <c r="Y99" s="2024"/>
      <c r="Z99" s="2024"/>
      <c r="AA99" s="2024"/>
      <c r="AB99" s="2024"/>
      <c r="AC99" s="2024"/>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1"/>
      <c r="B101" s="665" t="s">
        <v>543</v>
      </c>
      <c r="C101" s="710"/>
      <c r="D101" s="710"/>
      <c r="E101" s="710"/>
      <c r="F101" s="710"/>
      <c r="G101" s="710"/>
      <c r="H101" s="710"/>
      <c r="I101" s="710"/>
      <c r="J101" s="710"/>
      <c r="K101" s="711"/>
      <c r="L101" s="712"/>
      <c r="M101" s="713"/>
      <c r="N101" s="3226"/>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1"/>
      <c r="B103" s="673">
        <f>B33</f>
        <v>111</v>
      </c>
      <c r="C103" s="680"/>
      <c r="D103" s="680"/>
      <c r="E103" s="680"/>
      <c r="F103" s="680"/>
      <c r="G103" s="714"/>
      <c r="H103" s="714"/>
      <c r="I103" s="714"/>
      <c r="J103" s="714"/>
      <c r="K103" s="715"/>
      <c r="L103" s="716"/>
      <c r="M103" s="717"/>
      <c r="N103" s="3226"/>
      <c r="O103" s="2042"/>
      <c r="P103" s="2043"/>
      <c r="Q103" s="2036"/>
      <c r="R103" s="2024"/>
      <c r="S103" s="2024"/>
      <c r="T103" s="2024"/>
      <c r="U103" s="2024"/>
      <c r="V103" s="2024"/>
      <c r="W103" s="2024"/>
      <c r="X103" s="2024"/>
      <c r="Y103" s="2024"/>
      <c r="Z103" s="2024"/>
      <c r="AA103" s="2024"/>
      <c r="AB103" s="2024"/>
      <c r="AC103" s="2024"/>
    </row>
    <row r="104" spans="1:29" ht="15.75" thickBot="1">
      <c r="A104" s="661"/>
      <c r="B104" s="691"/>
      <c r="C104" s="684"/>
      <c r="D104" s="663"/>
      <c r="E104" s="663"/>
      <c r="F104" s="663"/>
      <c r="G104" s="718"/>
      <c r="H104" s="718"/>
      <c r="I104" s="718"/>
      <c r="J104" s="718"/>
      <c r="K104" s="718"/>
      <c r="L104" s="718"/>
      <c r="M104" s="719"/>
      <c r="N104" s="3227"/>
      <c r="O104" s="2044"/>
      <c r="P104" s="2043"/>
      <c r="Q104" s="2036"/>
      <c r="R104" s="2024"/>
      <c r="S104" s="2024"/>
      <c r="T104" s="2024"/>
      <c r="U104" s="2024"/>
      <c r="V104" s="2024"/>
      <c r="W104" s="2024"/>
      <c r="X104" s="2024"/>
      <c r="Y104" s="2024"/>
      <c r="Z104" s="2024"/>
      <c r="AA104" s="2024"/>
      <c r="AB104" s="2024"/>
      <c r="AC104" s="2024"/>
    </row>
    <row r="105" spans="1:29" ht="15" thickTop="1">
      <c r="A105" s="581"/>
      <c r="B105" s="665">
        <f>B34</f>
        <v>111</v>
      </c>
      <c r="C105" s="680"/>
      <c r="D105" s="680"/>
      <c r="E105" s="680"/>
      <c r="F105" s="680"/>
      <c r="G105" s="710"/>
      <c r="H105" s="710"/>
      <c r="I105" s="710"/>
      <c r="J105" s="710"/>
      <c r="K105" s="711"/>
      <c r="L105" s="712"/>
      <c r="M105" s="713"/>
      <c r="N105" s="3226"/>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84"/>
      <c r="D106" s="684"/>
      <c r="E106" s="684"/>
      <c r="F106" s="684"/>
      <c r="G106" s="663"/>
      <c r="H106" s="663"/>
      <c r="I106" s="663"/>
      <c r="J106" s="663"/>
      <c r="K106" s="663"/>
      <c r="L106" s="663"/>
      <c r="M106" s="664"/>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20"/>
      <c r="B107" s="721">
        <f>B35</f>
        <v>111</v>
      </c>
      <c r="C107" s="653"/>
      <c r="D107" s="653"/>
      <c r="E107" s="653"/>
      <c r="F107" s="653"/>
      <c r="G107" s="722"/>
      <c r="H107" s="722"/>
      <c r="I107" s="722"/>
      <c r="J107" s="723"/>
      <c r="K107" s="723"/>
      <c r="L107" s="724"/>
      <c r="M107" s="725"/>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9"/>
      <c r="B108" s="673"/>
      <c r="C108" s="692"/>
      <c r="D108" s="692"/>
      <c r="E108" s="692"/>
      <c r="F108" s="692"/>
      <c r="G108" s="586"/>
      <c r="H108" s="586"/>
      <c r="I108" s="586"/>
      <c r="J108" s="586"/>
      <c r="K108" s="586"/>
      <c r="L108" s="586"/>
      <c r="M108" s="726"/>
      <c r="N108" s="3227"/>
      <c r="O108" s="2044"/>
      <c r="P108" s="2046"/>
      <c r="Q108" s="2047"/>
      <c r="R108" s="2048"/>
      <c r="S108" s="2048"/>
      <c r="T108" s="2048"/>
      <c r="U108" s="2048"/>
      <c r="V108" s="2048"/>
      <c r="W108" s="2048"/>
      <c r="X108" s="2048"/>
      <c r="Y108" s="2048"/>
      <c r="Z108" s="2048"/>
      <c r="AA108" s="2048"/>
      <c r="AB108" s="2048"/>
      <c r="AC108" s="2048"/>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1"/>
      <c r="B110" s="673"/>
      <c r="C110" s="722"/>
      <c r="D110" s="722"/>
      <c r="E110" s="722"/>
      <c r="F110" s="722"/>
      <c r="G110" s="722"/>
      <c r="H110" s="722"/>
      <c r="I110" s="722"/>
      <c r="J110" s="723"/>
      <c r="K110" s="723"/>
      <c r="L110" s="724"/>
      <c r="M110" s="725"/>
      <c r="N110" s="3226"/>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92"/>
      <c r="D111" s="718"/>
      <c r="E111" s="718"/>
      <c r="F111" s="718"/>
      <c r="G111" s="718"/>
      <c r="H111" s="718"/>
      <c r="I111" s="718"/>
      <c r="J111" s="718"/>
      <c r="K111" s="718"/>
      <c r="L111" s="718"/>
      <c r="M111" s="719"/>
      <c r="N111" s="3227"/>
      <c r="O111" s="2044"/>
      <c r="P111" s="2043"/>
      <c r="Q111" s="2036"/>
      <c r="R111" s="2024"/>
      <c r="S111" s="2024"/>
      <c r="T111" s="2024"/>
      <c r="U111" s="2024"/>
      <c r="V111" s="2024"/>
      <c r="W111" s="2024"/>
      <c r="X111" s="2024"/>
      <c r="Y111" s="2024"/>
      <c r="Z111" s="2024"/>
      <c r="AA111" s="2024"/>
      <c r="AB111" s="2024"/>
      <c r="AC111" s="2024"/>
    </row>
    <row r="112" spans="1:29" ht="15" thickTop="1">
      <c r="A112" s="727"/>
      <c r="B112" s="665" t="s">
        <v>588</v>
      </c>
      <c r="C112" s="710"/>
      <c r="D112" s="710"/>
      <c r="E112" s="710"/>
      <c r="F112" s="710"/>
      <c r="G112" s="710"/>
      <c r="H112" s="710"/>
      <c r="I112" s="710"/>
      <c r="J112" s="710"/>
      <c r="K112" s="711"/>
      <c r="L112" s="712"/>
      <c r="M112" s="713"/>
      <c r="N112" s="3226"/>
      <c r="O112" s="2042"/>
      <c r="P112" s="2043"/>
      <c r="Q112" s="2036"/>
      <c r="R112" s="2024"/>
      <c r="S112" s="2024"/>
      <c r="T112" s="2024"/>
      <c r="U112" s="2024"/>
      <c r="V112" s="2024"/>
      <c r="W112" s="2024"/>
      <c r="X112" s="2024"/>
      <c r="Y112" s="2024"/>
      <c r="Z112" s="2024"/>
      <c r="AA112" s="2024"/>
      <c r="AB112" s="2024"/>
      <c r="AC112" s="2024"/>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20"/>
      <c r="B114" s="1807" t="s">
        <v>2408</v>
      </c>
      <c r="C114" s="1324"/>
      <c r="D114" s="1324"/>
      <c r="E114" s="1324"/>
      <c r="F114" s="1324"/>
      <c r="G114" s="1324"/>
      <c r="H114" s="710"/>
      <c r="I114" s="710"/>
      <c r="J114" s="710"/>
      <c r="K114" s="711"/>
      <c r="L114" s="712"/>
      <c r="M114" s="713"/>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7"/>
      <c r="B116" s="665" t="s">
        <v>590</v>
      </c>
      <c r="C116" s="680"/>
      <c r="D116" s="680"/>
      <c r="E116" s="710"/>
      <c r="F116" s="710"/>
      <c r="G116" s="710"/>
      <c r="H116" s="710"/>
      <c r="I116" s="710"/>
      <c r="J116" s="710"/>
      <c r="K116" s="711"/>
      <c r="L116" s="712"/>
      <c r="M116" s="713"/>
      <c r="N116" s="3226"/>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7"/>
      <c r="B118" s="665">
        <f>B40</f>
        <v>111</v>
      </c>
      <c r="C118" s="680"/>
      <c r="D118" s="680"/>
      <c r="E118" s="680"/>
      <c r="F118" s="680"/>
      <c r="G118" s="680"/>
      <c r="H118" s="710"/>
      <c r="I118" s="710"/>
      <c r="J118" s="710"/>
      <c r="K118" s="711"/>
      <c r="L118" s="712"/>
      <c r="M118" s="713"/>
      <c r="N118" s="3226"/>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3227"/>
      <c r="O119" s="2044"/>
      <c r="P119" s="2043"/>
      <c r="Q119" s="2036"/>
      <c r="R119" s="2024"/>
      <c r="S119" s="2024"/>
      <c r="T119" s="2024"/>
      <c r="U119" s="2024"/>
      <c r="V119" s="2024"/>
      <c r="W119" s="2024"/>
      <c r="X119" s="2024"/>
      <c r="Y119" s="2024"/>
      <c r="Z119" s="2024"/>
      <c r="AA119" s="2024"/>
      <c r="AB119" s="2024"/>
      <c r="AC119" s="2024"/>
    </row>
    <row r="120" spans="1:29" ht="15" thickTop="1">
      <c r="A120" s="727"/>
      <c r="B120" s="665">
        <f>B41</f>
        <v>111</v>
      </c>
      <c r="C120" s="680"/>
      <c r="D120" s="680"/>
      <c r="E120" s="680"/>
      <c r="F120" s="680"/>
      <c r="G120" s="710"/>
      <c r="H120" s="710"/>
      <c r="I120" s="710"/>
      <c r="J120" s="710"/>
      <c r="K120" s="711"/>
      <c r="L120" s="712"/>
      <c r="M120" s="713"/>
      <c r="N120" s="3226"/>
      <c r="O120" s="2042"/>
      <c r="P120" s="2043"/>
      <c r="Q120" s="2036"/>
      <c r="R120" s="2024"/>
      <c r="S120" s="2024"/>
      <c r="T120" s="2024"/>
      <c r="U120" s="2024"/>
      <c r="V120" s="2024"/>
      <c r="W120" s="2024"/>
      <c r="X120" s="2024"/>
      <c r="Y120" s="2024"/>
      <c r="Z120" s="2024"/>
      <c r="AA120" s="2024"/>
      <c r="AB120" s="2024"/>
      <c r="AC120" s="2024"/>
    </row>
    <row r="121" spans="1:29" ht="15.75" thickBot="1">
      <c r="A121" s="661"/>
      <c r="B121" s="670"/>
      <c r="C121" s="684"/>
      <c r="D121" s="684"/>
      <c r="E121" s="684"/>
      <c r="F121" s="684"/>
      <c r="G121" s="663"/>
      <c r="H121" s="663"/>
      <c r="I121" s="663"/>
      <c r="J121" s="663"/>
      <c r="K121" s="663"/>
      <c r="L121" s="663"/>
      <c r="M121" s="664"/>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20"/>
      <c r="B122" s="665">
        <f>B42</f>
        <v>111</v>
      </c>
      <c r="C122" s="653"/>
      <c r="D122" s="653"/>
      <c r="E122" s="653"/>
      <c r="F122" s="653"/>
      <c r="G122" s="681"/>
      <c r="H122" s="681"/>
      <c r="I122" s="681"/>
      <c r="J122" s="681"/>
      <c r="K122" s="681"/>
      <c r="L122" s="682"/>
      <c r="M122" s="683"/>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90"/>
      <c r="B123" s="728"/>
      <c r="C123" s="692"/>
      <c r="D123" s="692"/>
      <c r="E123" s="692"/>
      <c r="F123" s="692"/>
      <c r="G123" s="718"/>
      <c r="H123" s="718"/>
      <c r="I123" s="718"/>
      <c r="J123" s="718"/>
      <c r="K123" s="718"/>
      <c r="L123" s="718"/>
      <c r="M123" s="719"/>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 type="list" allowBlank="1" showInputMessage="1" showErrorMessage="1" sqref="D44"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2409</v>
      </c>
      <c r="D1" s="1457">
        <f>SUM(D29:D30,D33:D39)</f>
        <v>0</v>
      </c>
      <c r="E1" s="1351" t="s">
        <v>2410</v>
      </c>
      <c r="F1" s="2304"/>
      <c r="G1" s="1346"/>
      <c r="H1" s="1346"/>
      <c r="I1" s="1346"/>
      <c r="J1" s="1346"/>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1" t="s">
        <v>910</v>
      </c>
      <c r="B2" s="1023" t="e">
        <f>C26</f>
        <v>#DIV/0!</v>
      </c>
      <c r="C2" s="1352" t="s">
        <v>911</v>
      </c>
      <c r="D2" s="1353" t="s">
        <v>912</v>
      </c>
      <c r="E2" s="1354"/>
      <c r="F2" s="1353" t="s">
        <v>914</v>
      </c>
      <c r="G2" s="1577">
        <f>IF(E2="商业",项目基本情况!B43,IF(E2="办公",项目基本情况!C43,IF(E2="住宅",项目基本情况!D43,项目基本情况!E43)))</f>
        <v>0</v>
      </c>
      <c r="H2" s="1353" t="s">
        <v>916</v>
      </c>
      <c r="I2" s="1578">
        <f>IF(E2="商业",项目基本情况!B44,IF(E2="办公",项目基本情况!C44,IF(E2="住宅",项目基本情况!D44,项目基本情况!E44)))</f>
        <v>0</v>
      </c>
      <c r="J2" s="1355"/>
      <c r="K2" s="3229"/>
      <c r="L2" s="1796" t="s">
        <v>2226</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1677</v>
      </c>
      <c r="B3" s="1023" t="e">
        <f>ROUND(B2*10000/D1,0)</f>
        <v>#DIV/0!</v>
      </c>
      <c r="C3" s="1352" t="s">
        <v>917</v>
      </c>
      <c r="D3" s="1353" t="s">
        <v>918</v>
      </c>
      <c r="E3" s="1357"/>
      <c r="F3" s="1358"/>
      <c r="G3" s="1024">
        <f>IF(F3="宗地容积率",'数据-汇总表'!I4,IF(F3="估价对象容积率",'数据-汇总表'!I6,'数据-汇总表'!I7))</f>
        <v>7.0613655198705665</v>
      </c>
      <c r="H3" s="1359" t="s">
        <v>919</v>
      </c>
      <c r="I3" s="1025">
        <v>8</v>
      </c>
      <c r="J3" s="1355" t="s">
        <v>920</v>
      </c>
      <c r="K3" s="3229"/>
      <c r="L3" s="1796" t="s">
        <v>2227</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30"/>
      <c r="L4" s="1796" t="s">
        <v>2228</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1813</v>
      </c>
      <c r="B5" s="1360" t="s">
        <v>921</v>
      </c>
      <c r="C5" s="1026" t="e">
        <f>ROUND(IF(E2="商业",C6*C7+C16,(IF(E2="住宅",C6*C12+C16,C6+C16))),0)</f>
        <v>#DIV/0!</v>
      </c>
      <c r="D5" s="2790" t="e">
        <f>ROUND(C6+C16,0)</f>
        <v>#DIV/0!</v>
      </c>
      <c r="E5" s="2790"/>
      <c r="F5" s="1361"/>
      <c r="G5" s="1362"/>
      <c r="H5" s="1362"/>
      <c r="I5" s="1362"/>
      <c r="J5" s="1363"/>
      <c r="K5" s="3231"/>
      <c r="L5" s="1796" t="s">
        <v>2229</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1860</v>
      </c>
      <c r="B6" s="1367" t="s">
        <v>921</v>
      </c>
      <c r="C6" s="1027">
        <f>SUMIF(L1:L12,基准地价!G2,M1:M12)</f>
        <v>0</v>
      </c>
      <c r="D6" s="1368" t="s">
        <v>1685</v>
      </c>
      <c r="E6" s="1369"/>
      <c r="F6" s="1369"/>
      <c r="G6" s="1370"/>
      <c r="H6" s="1370"/>
      <c r="I6" s="1370"/>
      <c r="J6" s="1371"/>
      <c r="K6" s="3232"/>
      <c r="L6" s="1796" t="s">
        <v>2230</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722" t="str">
        <f>IF(E2="商业",IF(C8="不临58条商业街","",2),"")</f>
        <v/>
      </c>
      <c r="B7" s="1372" t="s">
        <v>922</v>
      </c>
      <c r="C7" s="1028" t="e">
        <f>IF(C8="不临58条商业街",1,ROUND(1+(1.6*E8+1.2*E9+0.8*E10+0.4*E11)*C9,4))</f>
        <v>#DIV/0!</v>
      </c>
      <c r="D7" s="1373" t="s">
        <v>923</v>
      </c>
      <c r="E7" s="1029"/>
      <c r="F7" s="1374"/>
      <c r="G7" s="1375"/>
      <c r="H7" s="1375"/>
      <c r="I7" s="1375"/>
      <c r="J7" s="1376"/>
      <c r="K7" s="3232"/>
      <c r="L7" s="1796" t="s">
        <v>2231</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2741</v>
      </c>
      <c r="X7" s="2641">
        <f>G2</f>
        <v>0</v>
      </c>
      <c r="Y7" s="2641" t="s">
        <v>2742</v>
      </c>
      <c r="Z7" s="2642">
        <f>G3</f>
        <v>7.0613655198705665</v>
      </c>
      <c r="AA7" s="2070"/>
      <c r="AB7" s="2070"/>
      <c r="AC7" s="2071"/>
      <c r="AD7" s="2643"/>
      <c r="AE7" s="2643"/>
      <c r="AF7" s="2643"/>
      <c r="AG7" s="2643"/>
      <c r="AH7" s="2643"/>
      <c r="AI7" s="2643"/>
      <c r="AJ7" s="2644"/>
    </row>
    <row r="8" spans="1:39" ht="15">
      <c r="A8" s="3723"/>
      <c r="B8" s="1359" t="s">
        <v>924</v>
      </c>
      <c r="C8" s="1465"/>
      <c r="D8" s="1030" t="s">
        <v>925</v>
      </c>
      <c r="E8" s="1031" t="e">
        <f>ROUND(C11/E7,4)</f>
        <v>#DIV/0!</v>
      </c>
      <c r="F8" s="1377" t="s">
        <v>926</v>
      </c>
      <c r="G8" s="1378"/>
      <c r="H8" s="1378"/>
      <c r="I8" s="1378"/>
      <c r="J8" s="1379"/>
      <c r="K8" s="3232"/>
      <c r="L8" s="1796" t="s">
        <v>2232</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709" t="s">
        <v>2759</v>
      </c>
      <c r="X8" s="3710"/>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723"/>
      <c r="B9" s="1359" t="s">
        <v>927</v>
      </c>
      <c r="C9" s="1032">
        <f>SUMIF(修正!C59:C119,C8,修正!E59:E119)</f>
        <v>0</v>
      </c>
      <c r="D9" s="1033" t="s">
        <v>928</v>
      </c>
      <c r="E9" s="1033" t="e">
        <f>ROUND(C11/E7,4)</f>
        <v>#DIV/0!</v>
      </c>
      <c r="F9" s="1377" t="s">
        <v>929</v>
      </c>
      <c r="G9" s="1378"/>
      <c r="H9" s="1378"/>
      <c r="I9" s="1378"/>
      <c r="J9" s="1379"/>
      <c r="K9" s="3232"/>
      <c r="L9" s="1796" t="s">
        <v>2233</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708" t="s">
        <v>2755</v>
      </c>
      <c r="X9" s="2645" t="s">
        <v>2756</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23"/>
      <c r="B10" s="1359" t="s">
        <v>930</v>
      </c>
      <c r="C10" s="1033">
        <f>SUMIF(修正!C59:C119,C8,修正!F59:F119)</f>
        <v>0</v>
      </c>
      <c r="D10" s="1033" t="s">
        <v>931</v>
      </c>
      <c r="E10" s="1033" t="e">
        <f>ROUND(C11/E7,4)</f>
        <v>#DIV/0!</v>
      </c>
      <c r="F10" s="1377" t="s">
        <v>932</v>
      </c>
      <c r="G10" s="1378"/>
      <c r="H10" s="1378"/>
      <c r="I10" s="1378"/>
      <c r="J10" s="1379"/>
      <c r="K10" s="3232"/>
      <c r="L10" s="1796" t="s">
        <v>2234</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708"/>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23"/>
      <c r="B11" s="1380" t="s">
        <v>933</v>
      </c>
      <c r="C11" s="1034">
        <f>C10/4</f>
        <v>0</v>
      </c>
      <c r="D11" s="1034" t="s">
        <v>934</v>
      </c>
      <c r="E11" s="1034" t="e">
        <f>ROUND(C11/E7,4)</f>
        <v>#DIV/0!</v>
      </c>
      <c r="F11" s="1381" t="s">
        <v>935</v>
      </c>
      <c r="G11" s="1382"/>
      <c r="H11" s="1382"/>
      <c r="I11" s="1382"/>
      <c r="J11" s="1383"/>
      <c r="K11" s="3232"/>
      <c r="L11" s="1796" t="s">
        <v>2235</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708" t="s">
        <v>2757</v>
      </c>
      <c r="X11" s="1033" t="s">
        <v>2742</v>
      </c>
      <c r="Y11" s="1578">
        <f>$G$3</f>
        <v>7.0613655198705665</v>
      </c>
      <c r="Z11" s="1578">
        <f t="shared" ref="Z11:AJ11" si="3">$G$3</f>
        <v>7.0613655198705665</v>
      </c>
      <c r="AA11" s="1578">
        <f t="shared" si="3"/>
        <v>7.0613655198705665</v>
      </c>
      <c r="AB11" s="1578">
        <f t="shared" si="3"/>
        <v>7.0613655198705665</v>
      </c>
      <c r="AC11" s="1578">
        <f t="shared" si="3"/>
        <v>7.0613655198705665</v>
      </c>
      <c r="AD11" s="1578">
        <f t="shared" si="3"/>
        <v>7.0613655198705665</v>
      </c>
      <c r="AE11" s="1578">
        <f t="shared" si="3"/>
        <v>7.0613655198705665</v>
      </c>
      <c r="AF11" s="1578">
        <f t="shared" si="3"/>
        <v>7.0613655198705665</v>
      </c>
      <c r="AG11" s="1578">
        <f t="shared" si="3"/>
        <v>7.0613655198705665</v>
      </c>
      <c r="AH11" s="1578">
        <f t="shared" si="3"/>
        <v>7.0613655198705665</v>
      </c>
      <c r="AI11" s="1578">
        <f t="shared" si="3"/>
        <v>7.0613655198705665</v>
      </c>
      <c r="AJ11" s="1578">
        <f t="shared" si="3"/>
        <v>7.0613655198705665</v>
      </c>
    </row>
    <row r="12" spans="1:39" ht="25.5" thickBot="1">
      <c r="A12" s="3722" t="s">
        <v>1861</v>
      </c>
      <c r="B12" s="1384" t="s">
        <v>936</v>
      </c>
      <c r="C12" s="1028">
        <f>ROUND(C15*D15*E15*F15*G15*H15*I15*J15,4)</f>
        <v>1</v>
      </c>
      <c r="D12" s="1385" t="s">
        <v>937</v>
      </c>
      <c r="E12" s="1386"/>
      <c r="F12" s="1386"/>
      <c r="G12" s="1387"/>
      <c r="H12" s="1387"/>
      <c r="I12" s="1387"/>
      <c r="J12" s="1388"/>
      <c r="K12" s="3232"/>
      <c r="L12" s="1799" t="s">
        <v>2236</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708"/>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24"/>
      <c r="B13" s="1389" t="s">
        <v>1686</v>
      </c>
      <c r="C13" s="1390" t="s">
        <v>1687</v>
      </c>
      <c r="D13" s="1070" t="s">
        <v>1688</v>
      </c>
      <c r="E13" s="1070" t="s">
        <v>1689</v>
      </c>
      <c r="F13" s="1391" t="s">
        <v>938</v>
      </c>
      <c r="G13" s="1392" t="s">
        <v>1632</v>
      </c>
      <c r="H13" s="1393" t="s">
        <v>1632</v>
      </c>
      <c r="I13" s="1394" t="s">
        <v>1632</v>
      </c>
      <c r="J13" s="1395" t="s">
        <v>1632</v>
      </c>
      <c r="K13" s="2840"/>
      <c r="L13" s="2840"/>
      <c r="M13" s="2840"/>
      <c r="N13" s="2840"/>
      <c r="O13" s="2840"/>
      <c r="P13" s="2067"/>
      <c r="Q13" s="2067"/>
      <c r="R13" s="2651">
        <v>12</v>
      </c>
      <c r="S13" s="2640"/>
      <c r="T13" s="2651" t="e">
        <f t="shared" si="0"/>
        <v>#DIV/0!</v>
      </c>
      <c r="U13" s="2640"/>
      <c r="V13" s="2651" t="e">
        <f t="shared" si="1"/>
        <v>#DIV/0!</v>
      </c>
      <c r="W13" s="3708"/>
      <c r="X13" s="2648"/>
      <c r="Y13" s="2647">
        <f>(-0.163*(Y12^2)-0.59*Y12+7617)*(10^(-4))/Y11</f>
        <v>0.10786865484538206</v>
      </c>
      <c r="Z13" s="2647">
        <f t="shared" ref="Z13:AJ13" si="5">(-0.163*(Z12^2)-0.59*Z12+7617)*(10^(-4))/Z11</f>
        <v>0.10786865484538206</v>
      </c>
      <c r="AA13" s="2647">
        <f t="shared" si="5"/>
        <v>0.10786865484538206</v>
      </c>
      <c r="AB13" s="2647">
        <f t="shared" si="5"/>
        <v>0.10786865484538206</v>
      </c>
      <c r="AC13" s="2647">
        <f t="shared" si="5"/>
        <v>0.10786865484538206</v>
      </c>
      <c r="AD13" s="2647">
        <f t="shared" si="5"/>
        <v>0.10786865484538206</v>
      </c>
      <c r="AE13" s="2647">
        <f t="shared" si="5"/>
        <v>0.10786865484538206</v>
      </c>
      <c r="AF13" s="2647">
        <f t="shared" si="5"/>
        <v>0.10786865484538206</v>
      </c>
      <c r="AG13" s="2647">
        <f t="shared" si="5"/>
        <v>0.10786865484538206</v>
      </c>
      <c r="AH13" s="2647">
        <f t="shared" si="5"/>
        <v>0.10786865484538206</v>
      </c>
      <c r="AI13" s="2647">
        <f t="shared" si="5"/>
        <v>0.10786865484538206</v>
      </c>
      <c r="AJ13" s="2647">
        <f t="shared" si="5"/>
        <v>0.10786865484538206</v>
      </c>
    </row>
    <row r="14" spans="1:39" ht="12.75" customHeight="1">
      <c r="A14" s="3724"/>
      <c r="B14" s="1396"/>
      <c r="C14" s="1397"/>
      <c r="D14" s="1398"/>
      <c r="E14" s="1398"/>
      <c r="F14" s="1399"/>
      <c r="G14" s="1400" t="s">
        <v>939</v>
      </c>
      <c r="H14" s="1401"/>
      <c r="I14" s="1402"/>
      <c r="J14" s="1403"/>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725"/>
      <c r="B15" s="2845" t="s">
        <v>1690</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722" t="s">
        <v>1828</v>
      </c>
      <c r="B16" s="1372" t="s">
        <v>940</v>
      </c>
      <c r="C16" s="1037" t="e">
        <f>ROUND(IF(F17="与级别开发程度一致",0,(G17-E17)/C17),0)</f>
        <v>#DIV/0!</v>
      </c>
      <c r="D16" s="3716" t="s">
        <v>944</v>
      </c>
      <c r="E16" s="3717"/>
      <c r="F16" s="3716" t="s">
        <v>941</v>
      </c>
      <c r="G16" s="3717"/>
      <c r="H16" s="1404"/>
      <c r="I16" s="1404"/>
      <c r="J16" s="1404"/>
      <c r="K16" s="1404"/>
      <c r="L16" s="1404"/>
      <c r="M16" s="1404"/>
      <c r="N16" s="1404"/>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726"/>
      <c r="B17" s="2851" t="s">
        <v>943</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1819</v>
      </c>
      <c r="B18" s="2846" t="s">
        <v>945</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1825</v>
      </c>
      <c r="B19" s="1407" t="s">
        <v>946</v>
      </c>
      <c r="C19" s="1038">
        <f>ROUND(IF(H19="按公示增长率计算",SUMPRODUCT((地价!A3:A33=YEAR(G19)&amp;"-"&amp;ROUNDUP(MONTH(G19)/3,0))*(地价!X2:AB2=E2)*(地价!X3:AB33)),IF(H19="地价指数",M20/M19,(1+I19)^O19)),4)</f>
        <v>0</v>
      </c>
      <c r="D19" s="1411" t="s">
        <v>947</v>
      </c>
      <c r="E19" s="1039">
        <v>41640</v>
      </c>
      <c r="F19" s="1411" t="s">
        <v>948</v>
      </c>
      <c r="G19" s="1040">
        <f>'数据-取费表'!B2</f>
        <v>44377</v>
      </c>
      <c r="H19" s="1412" t="s">
        <v>2948</v>
      </c>
      <c r="I19" s="2500" t="str">
        <f>IF(H19="季度增幅（自定义）",SUMIF(N21:N24,E2,O21:O24),"")</f>
        <v/>
      </c>
      <c r="J19" s="1408"/>
      <c r="K19" s="3231"/>
      <c r="L19" s="2750" t="s">
        <v>2817</v>
      </c>
      <c r="M19" s="2751">
        <f>ROUND(SUMIF(地价!B2:F2,E2,地价!B33:F33),0)</f>
        <v>0</v>
      </c>
      <c r="N19" s="2502" t="s">
        <v>1666</v>
      </c>
      <c r="O19" s="2501">
        <f>ROUNDDOWN(DATEDIF(E19,G19,"M")/3,0)</f>
        <v>29</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1826</v>
      </c>
      <c r="B20" s="2495" t="s">
        <v>961</v>
      </c>
      <c r="C20" s="2496" t="e">
        <f>ROUND(POWER(1+G20,J20-I20)*(POWER(1+G20,I20)-1)/(POWER(1+G20,J20)-1),4)</f>
        <v>#DIV/0!</v>
      </c>
      <c r="D20" s="2497" t="s">
        <v>962</v>
      </c>
      <c r="E20" s="2780">
        <f ca="1">存贷款利率!I4/100</f>
        <v>3.85E-2</v>
      </c>
      <c r="F20" s="2497" t="s">
        <v>963</v>
      </c>
      <c r="G20" s="2498">
        <f>SUMIF(M26:P26,E2,M28:P28)</f>
        <v>0</v>
      </c>
      <c r="H20" s="2497" t="s">
        <v>964</v>
      </c>
      <c r="I20" s="2493" t="e">
        <f>SUMIF('数据-取费表'!C6:C15,E2,'数据-取费表'!F6:F15)/COUNTIF('数据-取费表'!C6:C15,E2)</f>
        <v>#DIV/0!</v>
      </c>
      <c r="J20" s="2499">
        <f>IF(E2="住宅",70,IF(E2="商业",40,50))</f>
        <v>50</v>
      </c>
      <c r="K20" s="2841"/>
      <c r="L20" s="2752" t="s">
        <v>2818</v>
      </c>
      <c r="M20" s="2834">
        <f>ROUND(SUMPRODUCT((地价!A4:A33=YEAR(G19)&amp;"-"&amp;ROUNDUP(MONTH(G19)/3,0))*(地价!B2:F2=E2)*(地价!B4:F33)),0)</f>
        <v>0</v>
      </c>
      <c r="N20" s="2505" t="s">
        <v>2623</v>
      </c>
      <c r="O20" s="2503" t="s">
        <v>2622</v>
      </c>
      <c r="P20" s="2504" t="s">
        <v>2627</v>
      </c>
      <c r="Q20" s="2639"/>
      <c r="R20" s="2073"/>
      <c r="S20" s="2073"/>
      <c r="T20" s="2073"/>
      <c r="U20" s="2073"/>
      <c r="V20" s="2073"/>
      <c r="W20" s="2073"/>
      <c r="X20" s="2073"/>
      <c r="Y20" s="1409"/>
      <c r="Z20" s="1409"/>
      <c r="AA20" s="1409"/>
      <c r="AB20" s="1409"/>
      <c r="AC20" s="1409"/>
      <c r="AD20" s="1409"/>
    </row>
    <row r="21" spans="1:40" s="1366" customFormat="1" ht="14.25">
      <c r="A21" s="1567" t="s">
        <v>1827</v>
      </c>
      <c r="B21" s="1417" t="s">
        <v>2983</v>
      </c>
      <c r="C21" s="1139">
        <f>IF(B21="容积率修正",IF(G3&lt;=10,D22,J22),C23)</f>
        <v>0</v>
      </c>
      <c r="D21" s="1418"/>
      <c r="E21" s="1418"/>
      <c r="F21" s="1418"/>
      <c r="G21" s="1418"/>
      <c r="H21" s="1418"/>
      <c r="I21" s="1418"/>
      <c r="J21" s="1419"/>
      <c r="K21" s="3231"/>
      <c r="L21" s="1418"/>
      <c r="M21" s="1418"/>
      <c r="N21" s="1415" t="s">
        <v>965</v>
      </c>
      <c r="O21" s="1478"/>
      <c r="P21" s="2492">
        <f>SUMPRODUCT((地价!A3:A33=YEAR(G19)&amp;"-"&amp;ROUNDUP(MONTH(G19)/3,0))*(地价!AD2:AH2=N21)*(地价!AD3:AH33))</f>
        <v>0</v>
      </c>
      <c r="Q21" s="2639"/>
      <c r="R21" s="2073"/>
      <c r="S21" s="2073"/>
      <c r="T21" s="2073"/>
      <c r="U21" s="2073"/>
      <c r="V21" s="2073"/>
      <c r="W21" s="2073"/>
      <c r="X21" s="2073"/>
      <c r="Y21" s="1348"/>
      <c r="Z21" s="1348"/>
      <c r="AA21" s="1348"/>
      <c r="AB21" s="1348"/>
      <c r="AC21" s="1409"/>
      <c r="AD21" s="1409"/>
    </row>
    <row r="22" spans="1:40" s="1366" customFormat="1" ht="14.25">
      <c r="A22" s="1568" t="s">
        <v>1860</v>
      </c>
      <c r="B22" s="1420" t="s">
        <v>966</v>
      </c>
      <c r="C22" s="1041" t="s">
        <v>1692</v>
      </c>
      <c r="D22" s="1041">
        <f>IF(E22=G22,F22,IF(G3&lt;=10,ROUND(F22+(H22-F22)*(G3-E22)/(G22-E22),4),"——"))</f>
        <v>0</v>
      </c>
      <c r="E22" s="1024">
        <f>ROUNDDOWN(G3,1)</f>
        <v>7</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7.1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967</v>
      </c>
      <c r="J22" s="1041" t="str">
        <f>IF(G3&gt;10,D113,"——")</f>
        <v>——</v>
      </c>
      <c r="K22" s="3237"/>
      <c r="L22" s="1418"/>
      <c r="M22" s="1418"/>
      <c r="N22" s="1415" t="s">
        <v>968</v>
      </c>
      <c r="O22" s="1478"/>
      <c r="P22" s="2492">
        <f>SUMPRODUCT((地价!A3:A33=YEAR(G19)&amp;"-"&amp;ROUNDUP(MONTH(G19)/3,0))*(地价!AD2:AH2=N22)*(地价!AD3:AH33))</f>
        <v>0</v>
      </c>
      <c r="Q22" s="2639"/>
      <c r="R22" s="2073"/>
      <c r="S22" s="2073"/>
      <c r="T22" s="2073"/>
      <c r="U22" s="2073"/>
      <c r="V22" s="2073"/>
      <c r="W22" s="2073"/>
      <c r="X22" s="2073"/>
      <c r="Y22" s="1409"/>
      <c r="Z22" s="1409"/>
      <c r="AA22" s="1409"/>
      <c r="AB22" s="1409"/>
      <c r="AC22" s="1409"/>
      <c r="AD22" s="1409"/>
    </row>
    <row r="23" spans="1:40" ht="15.75" thickBot="1">
      <c r="A23" s="1568" t="s">
        <v>1861</v>
      </c>
      <c r="B23" s="1420" t="s">
        <v>969</v>
      </c>
      <c r="C23" s="1042">
        <f>ROUND(IF(G3&gt;1,IF(I3&lt;7,SUMPRODUCT((B93:B98=I3)*(C92:N92=G2)*(C93:N98)),SUMIF(C92:N92,G2,C100:N100)),IF(I3&lt;7,SUMPRODUCT((B102:B107=I3)*(C92:N92=G2)*(C102:N107)),SUMIF(C92:N92,G2,C109:N109))),4)</f>
        <v>0</v>
      </c>
      <c r="D23" s="1466"/>
      <c r="E23" s="1466"/>
      <c r="F23" s="1467"/>
      <c r="G23" s="1468"/>
      <c r="H23" s="1469"/>
      <c r="I23" s="1470"/>
      <c r="J23" s="1470"/>
      <c r="K23" s="3238"/>
      <c r="L23" s="1346"/>
      <c r="M23" s="1346"/>
      <c r="N23" s="1415" t="s">
        <v>913</v>
      </c>
      <c r="O23" s="1478"/>
      <c r="P23" s="2492">
        <f>SUMPRODUCT((地价!A3:A33=YEAR(G19)&amp;"-"&amp;ROUNDUP(MONTH(G19)/3,0))*(地价!AD2:AH2=N23)*(地价!AD3:AH33))</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1862</v>
      </c>
      <c r="B24" s="1360" t="s">
        <v>970</v>
      </c>
      <c r="C24" s="1043">
        <f>SUMIF(A44:A87,E2,B44:B87)</f>
        <v>0</v>
      </c>
      <c r="D24" s="1471"/>
      <c r="E24" s="1472"/>
      <c r="F24" s="1472"/>
      <c r="G24" s="1472"/>
      <c r="H24" s="1472"/>
      <c r="I24" s="1472"/>
      <c r="J24" s="1472"/>
      <c r="K24" s="3238"/>
      <c r="L24" s="1418"/>
      <c r="M24" s="1418"/>
      <c r="N24" s="1415" t="s">
        <v>971</v>
      </c>
      <c r="O24" s="2833"/>
      <c r="P24" s="2492">
        <f>SUMPRODUCT((地价!A3:A33=YEAR(G19)&amp;"-"&amp;ROUNDUP(MONTH(G19)/3,0))*(地价!AD2:AH2=N24)*(地价!AD3:AH33))</f>
        <v>0</v>
      </c>
      <c r="Q24" s="2639"/>
      <c r="R24" s="2073"/>
      <c r="S24" s="2073"/>
      <c r="T24" s="2073"/>
      <c r="U24" s="2073"/>
      <c r="V24" s="2073"/>
      <c r="W24" s="2073"/>
      <c r="X24" s="2073"/>
      <c r="Y24" s="1409"/>
      <c r="Z24" s="1409"/>
      <c r="AA24" s="1409"/>
      <c r="AB24" s="1409"/>
      <c r="AC24" s="1409"/>
      <c r="AD24" s="1409"/>
    </row>
    <row r="25" spans="1:40" ht="15" thickBot="1">
      <c r="A25" s="1566" t="s">
        <v>1863</v>
      </c>
      <c r="B25" s="1422" t="s">
        <v>972</v>
      </c>
      <c r="C25" s="1423"/>
      <c r="D25" s="1375"/>
      <c r="E25" s="1375"/>
      <c r="F25" s="1424"/>
      <c r="G25" s="1375"/>
      <c r="H25" s="1375"/>
      <c r="I25" s="1375"/>
      <c r="J25" s="1376"/>
      <c r="K25" s="3232"/>
      <c r="L25" s="2073"/>
      <c r="M25" s="2073"/>
      <c r="N25" s="2835" t="s">
        <v>2625</v>
      </c>
      <c r="O25" s="2836"/>
      <c r="P25" s="2299">
        <f>SUMPRODUCT((地价!A3:A33=YEAR(G19)&amp;"-"&amp;ROUNDUP(MONTH(G19)/3,0))*(地价!AD2:AH2=N25)*(地价!AD3:AH33))</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976</v>
      </c>
      <c r="C26" s="3014" t="e">
        <f>IF(B21="容积率修正",E29+SUM(E33:E39),SUM(V2:V16)+SUM(E33:E39))</f>
        <v>#DIV/0!</v>
      </c>
      <c r="D26" s="1426"/>
      <c r="E26" s="1401"/>
      <c r="F26" s="1427"/>
      <c r="G26" s="1401"/>
      <c r="H26" s="1401"/>
      <c r="I26" s="1401"/>
      <c r="J26" s="1428"/>
      <c r="K26" s="3232"/>
      <c r="L26" s="1525" t="s">
        <v>888</v>
      </c>
      <c r="M26" s="1373" t="s">
        <v>973</v>
      </c>
      <c r="N26" s="1373" t="s">
        <v>974</v>
      </c>
      <c r="O26" s="1373" t="s">
        <v>892</v>
      </c>
      <c r="P26" s="1413" t="s">
        <v>975</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978</v>
      </c>
      <c r="C27" s="1045" t="e">
        <f>E30+SUM(I33:I39)</f>
        <v>#DIV/0!</v>
      </c>
      <c r="D27" s="1430"/>
      <c r="E27" s="1431"/>
      <c r="F27" s="1432"/>
      <c r="G27" s="1431"/>
      <c r="H27" s="1431"/>
      <c r="I27" s="1431"/>
      <c r="J27" s="1433"/>
      <c r="K27" s="3232"/>
      <c r="L27" s="1405" t="s">
        <v>977</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979</v>
      </c>
      <c r="C28" s="1435" t="s">
        <v>980</v>
      </c>
      <c r="D28" s="1435" t="s">
        <v>981</v>
      </c>
      <c r="E28" s="1436" t="s">
        <v>982</v>
      </c>
      <c r="F28" s="1437"/>
      <c r="G28" s="1387"/>
      <c r="H28" s="1387"/>
      <c r="I28" s="1387"/>
      <c r="J28" s="1388"/>
      <c r="K28" s="3232"/>
      <c r="L28" s="1406" t="s">
        <v>963</v>
      </c>
      <c r="M28" s="1476">
        <f ca="1">ROUND($E$20*(1+M27),3)</f>
        <v>4.8000000000000001E-2</v>
      </c>
      <c r="N28" s="1476">
        <f ca="1">ROUND($E$20*(1+N27),3)</f>
        <v>4.5999999999999999E-2</v>
      </c>
      <c r="O28" s="1476">
        <f ca="1">ROUND($E$20*(1+O27),3)</f>
        <v>4.3999999999999997E-2</v>
      </c>
      <c r="P28" s="1477">
        <f ca="1">ROUND($E$20*(1+P27),3)</f>
        <v>4.2000000000000003E-2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983</v>
      </c>
      <c r="C29" s="1044" t="e">
        <f>ROUND(C5*C18*C19*C20*C21*C24,0)</f>
        <v>#DIV/0!</v>
      </c>
      <c r="D29" s="1440"/>
      <c r="E29" s="1760" t="e">
        <f>ROUND(C29*D29/10000,0)</f>
        <v>#DIV/0!</v>
      </c>
      <c r="F29" s="1441" t="s">
        <v>1691</v>
      </c>
      <c r="G29" s="1442"/>
      <c r="H29" s="1442"/>
      <c r="I29" s="1442"/>
      <c r="J29" s="1443"/>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984</v>
      </c>
      <c r="C30" s="1036" t="e">
        <f>ROUND(IF(E2="工业",C29*M39,C29*M38),0)</f>
        <v>#DIV/0!</v>
      </c>
      <c r="D30" s="1446"/>
      <c r="E30" s="1760" t="e">
        <f>ROUND(C30*D30/10000,0)</f>
        <v>#DIV/0!</v>
      </c>
      <c r="F30" s="1447" t="s">
        <v>985</v>
      </c>
      <c r="G30" s="1448"/>
      <c r="H30" s="1448"/>
      <c r="I30" s="1448"/>
      <c r="J30" s="1449"/>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986</v>
      </c>
      <c r="C31" s="1452" t="s">
        <v>987</v>
      </c>
      <c r="D31" s="1387"/>
      <c r="E31" s="1452"/>
      <c r="F31" s="1452"/>
      <c r="G31" s="1385" t="s">
        <v>985</v>
      </c>
      <c r="H31" s="1387"/>
      <c r="I31" s="1453"/>
      <c r="J31" s="1388"/>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980</v>
      </c>
      <c r="D32" s="1456" t="s">
        <v>981</v>
      </c>
      <c r="E32" s="1456" t="s">
        <v>982</v>
      </c>
      <c r="F32" s="1457" t="s">
        <v>988</v>
      </c>
      <c r="G32" s="1416" t="s">
        <v>980</v>
      </c>
      <c r="H32" s="1416" t="s">
        <v>981</v>
      </c>
      <c r="I32" s="1416" t="s">
        <v>982</v>
      </c>
      <c r="J32" s="1458"/>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718"/>
      <c r="B33" s="1460" t="s">
        <v>989</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718"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719"/>
      <c r="B34" s="1390" t="s">
        <v>990</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719"/>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719"/>
      <c r="B35" s="1390" t="s">
        <v>991</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719"/>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720"/>
      <c r="B36" s="1390" t="s">
        <v>992</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720"/>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993</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1693</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994</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1695</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995</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1694</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30" t="s">
        <v>2942</v>
      </c>
      <c r="C41" s="828" t="e">
        <f>ROUND(POWER(1+E41,H41-G41)*(POWER(1+E41,G41)-1)/(POWER(1+E41,H41)-1),4)</f>
        <v>#DIV/0!</v>
      </c>
      <c r="D41" s="372" t="s">
        <v>2940</v>
      </c>
      <c r="E41" s="2829">
        <f>G20</f>
        <v>0</v>
      </c>
      <c r="F41" s="372" t="s">
        <v>2941</v>
      </c>
      <c r="G41" s="390"/>
      <c r="H41" s="372">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996</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997</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1010</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1011</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1012</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1013</v>
      </c>
      <c r="B50" s="2782" t="s">
        <v>2898</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1014</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1015</v>
      </c>
      <c r="B52" s="2781" t="s">
        <v>2897</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1016</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1017</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1018</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1019</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1020</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1011</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1012</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1013</v>
      </c>
      <c r="B61" s="2782" t="s">
        <v>2899</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1014</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1015</v>
      </c>
      <c r="B63" s="2781" t="s">
        <v>2897</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1016</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1017</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1018</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1021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1022</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1023</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1012</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1024</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1016</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1017</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1015</v>
      </c>
      <c r="B75" s="2781" t="s">
        <v>2897</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1018</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1025</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1026</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0"/>
      <c r="AD79" s="1349"/>
      <c r="AJ79" s="1348"/>
      <c r="AN79" s="1349"/>
    </row>
    <row r="80" spans="1:40" ht="36">
      <c r="A80" s="1048" t="s">
        <v>1027</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1023</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1012</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1024</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1016</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1017</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1015</v>
      </c>
      <c r="B86" s="2781" t="s">
        <v>2897</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1028</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727" t="s">
        <v>1623</v>
      </c>
      <c r="B90" s="3727"/>
      <c r="C90" s="3727"/>
      <c r="D90" s="3727"/>
      <c r="E90" s="3727"/>
      <c r="F90" s="3727"/>
      <c r="G90" s="3727"/>
      <c r="H90" s="3727"/>
      <c r="I90" s="3727"/>
      <c r="J90" s="3727"/>
      <c r="K90" s="2302"/>
      <c r="L90" s="2302"/>
      <c r="M90" s="2302"/>
      <c r="N90" s="2302"/>
    </row>
    <row r="91" spans="1:40">
      <c r="A91" s="3728" t="s">
        <v>1433</v>
      </c>
      <c r="B91" s="3728" t="s">
        <v>1624</v>
      </c>
      <c r="C91" s="1121" t="s">
        <v>1625</v>
      </c>
      <c r="D91" s="1122"/>
      <c r="E91" s="1122"/>
      <c r="F91" s="1122"/>
      <c r="G91" s="1122"/>
      <c r="H91" s="1122"/>
      <c r="I91" s="1122"/>
      <c r="J91" s="1123"/>
      <c r="K91" s="1115"/>
      <c r="L91" s="1115"/>
      <c r="M91" s="1115"/>
      <c r="N91" s="1115"/>
    </row>
    <row r="92" spans="1:40">
      <c r="A92" s="3728"/>
      <c r="B92" s="3728"/>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711" t="s">
        <v>2740</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1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1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1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1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1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12"/>
      <c r="B99" s="1124" t="s">
        <v>1626</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713"/>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711" t="s">
        <v>1627</v>
      </c>
      <c r="B101" s="1128" t="s">
        <v>896</v>
      </c>
      <c r="C101" s="1129">
        <f>$G$3</f>
        <v>7.0613655198705665</v>
      </c>
      <c r="D101" s="1129">
        <f t="shared" ref="D101:N101" si="31">$G$3</f>
        <v>7.0613655198705665</v>
      </c>
      <c r="E101" s="1129">
        <f t="shared" si="31"/>
        <v>7.0613655198705665</v>
      </c>
      <c r="F101" s="1129">
        <f t="shared" si="31"/>
        <v>7.0613655198705665</v>
      </c>
      <c r="G101" s="1129">
        <f t="shared" si="31"/>
        <v>7.0613655198705665</v>
      </c>
      <c r="H101" s="1129">
        <f t="shared" si="31"/>
        <v>7.0613655198705665</v>
      </c>
      <c r="I101" s="1129">
        <f t="shared" si="31"/>
        <v>7.0613655198705665</v>
      </c>
      <c r="J101" s="1129">
        <f t="shared" si="31"/>
        <v>7.0613655198705665</v>
      </c>
      <c r="K101" s="1129">
        <f t="shared" si="31"/>
        <v>7.0613655198705665</v>
      </c>
      <c r="L101" s="1129">
        <f t="shared" si="31"/>
        <v>7.0613655198705665</v>
      </c>
      <c r="M101" s="1129">
        <f t="shared" si="31"/>
        <v>7.0613655198705665</v>
      </c>
      <c r="N101" s="1129">
        <f t="shared" si="31"/>
        <v>7.0613655198705665</v>
      </c>
    </row>
    <row r="102" spans="1:14">
      <c r="A102" s="3712"/>
      <c r="B102" s="1124">
        <v>1</v>
      </c>
      <c r="C102" s="1125">
        <f>1.9362/C101</f>
        <v>0.27419625772827722</v>
      </c>
      <c r="D102" s="1125">
        <f>1.9362/D101</f>
        <v>0.27419625772827722</v>
      </c>
      <c r="E102" s="1125">
        <f>1.8629/E101</f>
        <v>0.26381582921289515</v>
      </c>
      <c r="F102" s="1125">
        <f>1.8629/F101</f>
        <v>0.26381582921289515</v>
      </c>
      <c r="G102" s="1125">
        <f>1.8629/G101</f>
        <v>0.26381582921289515</v>
      </c>
      <c r="H102" s="1125">
        <f>1.8629/H101</f>
        <v>0.26381582921289515</v>
      </c>
      <c r="I102" s="1125">
        <f>1.8629/I101</f>
        <v>0.26381582921289515</v>
      </c>
      <c r="J102" s="1125">
        <f>1.942/J101</f>
        <v>0.27501762860671125</v>
      </c>
      <c r="K102" s="1125">
        <f>1.942/K101</f>
        <v>0.27501762860671125</v>
      </c>
      <c r="L102" s="1125">
        <f>1.942/L101</f>
        <v>0.27501762860671125</v>
      </c>
      <c r="M102" s="1125">
        <f>1.942/M101</f>
        <v>0.27501762860671125</v>
      </c>
      <c r="N102" s="1125">
        <f>1.942/N101</f>
        <v>0.27501762860671125</v>
      </c>
    </row>
    <row r="103" spans="1:14">
      <c r="A103" s="3712"/>
      <c r="B103" s="1124">
        <v>2</v>
      </c>
      <c r="C103" s="1125">
        <f>1.4198/C101</f>
        <v>0.20106592641390764</v>
      </c>
      <c r="D103" s="1125">
        <f>1.4198/D101</f>
        <v>0.20106592641390764</v>
      </c>
      <c r="E103" s="1125">
        <f>1.3372/E101</f>
        <v>0.18936847217965719</v>
      </c>
      <c r="F103" s="1125">
        <f>1.3372/F101</f>
        <v>0.18936847217965719</v>
      </c>
      <c r="G103" s="1125">
        <f>1.3372/G101</f>
        <v>0.18936847217965719</v>
      </c>
      <c r="H103" s="1125">
        <f>1.3372/H101</f>
        <v>0.18936847217965719</v>
      </c>
      <c r="I103" s="1125">
        <f>1.3372/I101</f>
        <v>0.18936847217965719</v>
      </c>
      <c r="J103" s="1125">
        <f>1.2799/J101</f>
        <v>0.18125389436340358</v>
      </c>
      <c r="K103" s="1125">
        <f>1.2799/K101</f>
        <v>0.18125389436340358</v>
      </c>
      <c r="L103" s="1125">
        <f>1.2799/L101</f>
        <v>0.18125389436340358</v>
      </c>
      <c r="M103" s="1125">
        <f>1.2799/M101</f>
        <v>0.18125389436340358</v>
      </c>
      <c r="N103" s="1125">
        <f>1.2799/N101</f>
        <v>0.18125389436340358</v>
      </c>
    </row>
    <row r="104" spans="1:14">
      <c r="A104" s="3712"/>
      <c r="B104" s="1124">
        <v>3</v>
      </c>
      <c r="C104" s="1125">
        <f>1.1594/C101</f>
        <v>0.16418920628559269</v>
      </c>
      <c r="D104" s="1125">
        <f>1.1594/D101</f>
        <v>0.16418920628559269</v>
      </c>
      <c r="E104" s="1125">
        <f>1.0788/E101</f>
        <v>0.15277498338873333</v>
      </c>
      <c r="F104" s="1125">
        <f>1.0788/F101</f>
        <v>0.15277498338873333</v>
      </c>
      <c r="G104" s="1125">
        <f>1.0788/G101</f>
        <v>0.15277498338873333</v>
      </c>
      <c r="H104" s="1125">
        <f>1.0788/H101</f>
        <v>0.15277498338873333</v>
      </c>
      <c r="I104" s="1125">
        <f>1.0788/I101</f>
        <v>0.15277498338873333</v>
      </c>
      <c r="J104" s="1125">
        <f>1.0072/J101</f>
        <v>0.14263530151013368</v>
      </c>
      <c r="K104" s="1125">
        <f>1.0072/K101</f>
        <v>0.14263530151013368</v>
      </c>
      <c r="L104" s="1125">
        <f>1.0072/L101</f>
        <v>0.14263530151013368</v>
      </c>
      <c r="M104" s="1125">
        <f>1.0072/M101</f>
        <v>0.14263530151013368</v>
      </c>
      <c r="N104" s="1125">
        <f>1.0072/N101</f>
        <v>0.14263530151013368</v>
      </c>
    </row>
    <row r="105" spans="1:14">
      <c r="A105" s="3712"/>
      <c r="B105" s="1124">
        <v>4</v>
      </c>
      <c r="C105" s="1125">
        <f>0.9622/C101</f>
        <v>0.13626259641883501</v>
      </c>
      <c r="D105" s="1125">
        <f>0.9622/D101</f>
        <v>0.13626259641883501</v>
      </c>
      <c r="E105" s="1125">
        <f>0.8656/E101</f>
        <v>0.12258252282284721</v>
      </c>
      <c r="F105" s="1125">
        <f>0.8656/F101</f>
        <v>0.12258252282284721</v>
      </c>
      <c r="G105" s="1125">
        <f>0.8656/G101</f>
        <v>0.12258252282284721</v>
      </c>
      <c r="H105" s="1125">
        <f>0.8656/H101</f>
        <v>0.12258252282284721</v>
      </c>
      <c r="I105" s="1125">
        <f>0.8656/I101</f>
        <v>0.12258252282284721</v>
      </c>
      <c r="J105" s="1125">
        <f>0.7525/J101</f>
        <v>0.10656579069338322</v>
      </c>
      <c r="K105" s="1125">
        <f>0.7525/K101</f>
        <v>0.10656579069338322</v>
      </c>
      <c r="L105" s="1125">
        <f>0.7525/L101</f>
        <v>0.10656579069338322</v>
      </c>
      <c r="M105" s="1125">
        <f>0.7525/M101</f>
        <v>0.10656579069338322</v>
      </c>
      <c r="N105" s="1125">
        <f>0.7525/N101</f>
        <v>0.10656579069338322</v>
      </c>
    </row>
    <row r="106" spans="1:14">
      <c r="A106" s="3712"/>
      <c r="B106" s="1124">
        <v>5</v>
      </c>
      <c r="C106" s="1125">
        <f>0.8417/C101</f>
        <v>0.11919790834102413</v>
      </c>
      <c r="D106" s="1125">
        <f>0.8417/D101</f>
        <v>0.11919790834102413</v>
      </c>
      <c r="E106" s="1125">
        <f>0.7371/E101</f>
        <v>0.10438490939547213</v>
      </c>
      <c r="F106" s="1125">
        <f>0.7371/F101</f>
        <v>0.10438490939547213</v>
      </c>
      <c r="G106" s="1125">
        <f>0.7371/G101</f>
        <v>0.10438490939547213</v>
      </c>
      <c r="H106" s="1125">
        <f>0.7371/H101</f>
        <v>0.10438490939547213</v>
      </c>
      <c r="I106" s="1125">
        <f>0.7371/I101</f>
        <v>0.10438490939547213</v>
      </c>
      <c r="J106" s="1125">
        <f>0.5659/J101</f>
        <v>8.0140306914798093E-2</v>
      </c>
      <c r="K106" s="1125">
        <f>0.5659/K101</f>
        <v>8.0140306914798093E-2</v>
      </c>
      <c r="L106" s="1125">
        <f>0.5659/L101</f>
        <v>8.0140306914798093E-2</v>
      </c>
      <c r="M106" s="1125">
        <f>0.5659/M101</f>
        <v>8.0140306914798093E-2</v>
      </c>
      <c r="N106" s="1125">
        <f>0.5659/N101</f>
        <v>8.0140306914798093E-2</v>
      </c>
    </row>
    <row r="107" spans="1:14">
      <c r="A107" s="3712"/>
      <c r="B107" s="1124">
        <v>6</v>
      </c>
      <c r="C107" s="1125">
        <f>0.7608/C101</f>
        <v>0.10774120074355609</v>
      </c>
      <c r="D107" s="1125">
        <f>0.7608/D101</f>
        <v>0.10774120074355609</v>
      </c>
      <c r="E107" s="1125">
        <f>0.6482/E101</f>
        <v>9.1795276448439878E-2</v>
      </c>
      <c r="F107" s="1125">
        <f>0.6482/F101</f>
        <v>9.1795276448439878E-2</v>
      </c>
      <c r="G107" s="1125">
        <f>0.6482/G101</f>
        <v>9.1795276448439878E-2</v>
      </c>
      <c r="H107" s="1125">
        <f>0.6482/H101</f>
        <v>9.1795276448439878E-2</v>
      </c>
      <c r="I107" s="1125">
        <f>0.6482/I101</f>
        <v>9.1795276448439878E-2</v>
      </c>
      <c r="J107" s="1125">
        <f>0.4525/J101</f>
        <v>6.4081090084725456E-2</v>
      </c>
      <c r="K107" s="1125">
        <f>0.4525/K101</f>
        <v>6.4081090084725456E-2</v>
      </c>
      <c r="L107" s="1125">
        <f>0.4525/L101</f>
        <v>6.4081090084725456E-2</v>
      </c>
      <c r="M107" s="1125">
        <f>0.4525/M101</f>
        <v>6.4081090084725456E-2</v>
      </c>
      <c r="N107" s="1125">
        <f>0.4525/N101</f>
        <v>6.4081090084725456E-2</v>
      </c>
    </row>
    <row r="108" spans="1:14">
      <c r="A108" s="3712"/>
      <c r="B108" s="3714" t="s">
        <v>1628</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713"/>
      <c r="B109" s="3715"/>
      <c r="C109" s="1127">
        <f>(-0.163*(C108^2)-0.59*C108+7617)*(10^(-4))/C101</f>
        <v>0.1076540787841746</v>
      </c>
      <c r="D109" s="1127">
        <f>(-0.163*(D108^2)-0.59*D108+7617)*(10^(-4))/D101</f>
        <v>0.1076540787841746</v>
      </c>
      <c r="E109" s="1127">
        <f>(-0.161*(E108^2)-7.509*E108+6533)*(10^(-4))/E101</f>
        <v>9.152088192877543E-2</v>
      </c>
      <c r="F109" s="1127">
        <f>(-0.161*(F108^2)-7.509*F108+6533)*(10^(-4))/F101</f>
        <v>9.152088192877543E-2</v>
      </c>
      <c r="G109" s="1127">
        <f>(-0.161*(G108^2)-7.509*G108+6533)*(10^(-4))/G101</f>
        <v>9.152088192877543E-2</v>
      </c>
      <c r="H109" s="1127">
        <f>(-0.161*(H108^2)-7.509*H108+6533)*(10^(-4))/H101</f>
        <v>9.152088192877543E-2</v>
      </c>
      <c r="I109" s="1127">
        <f>(-0.161*(I108^2)-7.509*I108+6533)*(10^(-4))/I101</f>
        <v>9.152088192877543E-2</v>
      </c>
      <c r="J109" s="1127">
        <f>(-0.214*(J108^2)-21.991*J108+4665)*(10^(-4))/J101</f>
        <v>6.3378336490390791E-2</v>
      </c>
      <c r="K109" s="1127">
        <f>(-0.214*(K108^2)-21.991*K108+4665)*(10^(-4))/K101</f>
        <v>6.3378336490390791E-2</v>
      </c>
      <c r="L109" s="1127">
        <f>(-0.214*(L108^2)-21.991*L108+4665)*(10^(-4))/L101</f>
        <v>6.3378336490390791E-2</v>
      </c>
      <c r="M109" s="1127">
        <f>(-0.214*(M108^2)-21.991*M108+4665)*(10^(-4))/M101</f>
        <v>6.3378336490390791E-2</v>
      </c>
      <c r="N109" s="1127">
        <f>(-0.214*(N108^2)-21.991*N108+4665)*(10^(-4))/N101</f>
        <v>6.3378336490390791E-2</v>
      </c>
    </row>
    <row r="110" spans="1:14">
      <c r="A110" s="3721" t="s">
        <v>1629</v>
      </c>
      <c r="B110" s="3721"/>
      <c r="C110" s="3721"/>
      <c r="D110" s="3721"/>
      <c r="E110" s="3721"/>
      <c r="F110" s="3721"/>
      <c r="G110" s="3721"/>
      <c r="H110" s="3721"/>
      <c r="I110" s="3721"/>
      <c r="J110" s="3721"/>
      <c r="K110" s="2300"/>
      <c r="L110" s="2300"/>
      <c r="M110" s="2300"/>
      <c r="N110" s="2300"/>
    </row>
    <row r="112" spans="1:14" ht="12.75" thickBot="1"/>
    <row r="113" spans="1:13" ht="25.5" thickBot="1">
      <c r="A113" s="1001" t="s">
        <v>886</v>
      </c>
      <c r="B113" s="2303">
        <f>G3</f>
        <v>7.0613655198705665</v>
      </c>
      <c r="C113" s="1002" t="s">
        <v>887</v>
      </c>
      <c r="D113" s="1003">
        <f>SUMPRODUCT((A115:A118=F113)*(B114:M114=H113)*B115:M118)</f>
        <v>0</v>
      </c>
      <c r="E113" s="1004" t="s">
        <v>888</v>
      </c>
      <c r="F113" s="1005">
        <f>E2</f>
        <v>0</v>
      </c>
      <c r="G113" s="1004" t="s">
        <v>889</v>
      </c>
      <c r="H113" s="1005">
        <f>G2</f>
        <v>0</v>
      </c>
      <c r="I113" s="1004"/>
      <c r="J113" s="996"/>
      <c r="K113" s="996"/>
      <c r="L113" s="996"/>
      <c r="M113" s="996"/>
    </row>
    <row r="114" spans="1:13" ht="12.75">
      <c r="A114" s="1008"/>
      <c r="B114" s="1009" t="s">
        <v>874</v>
      </c>
      <c r="C114" s="1009" t="s">
        <v>875</v>
      </c>
      <c r="D114" s="1009" t="s">
        <v>876</v>
      </c>
      <c r="E114" s="1010" t="s">
        <v>877</v>
      </c>
      <c r="F114" s="1010" t="s">
        <v>878</v>
      </c>
      <c r="G114" s="1010" t="s">
        <v>879</v>
      </c>
      <c r="H114" s="1011" t="s">
        <v>880</v>
      </c>
      <c r="I114" s="1011" t="s">
        <v>881</v>
      </c>
      <c r="J114" s="1012" t="s">
        <v>882</v>
      </c>
      <c r="K114" s="1012" t="s">
        <v>883</v>
      </c>
      <c r="L114" s="1012" t="s">
        <v>884</v>
      </c>
      <c r="M114" s="1013" t="s">
        <v>885</v>
      </c>
    </row>
    <row r="115" spans="1:13" ht="12.75">
      <c r="A115" s="1014" t="s">
        <v>890</v>
      </c>
      <c r="B115" s="1015">
        <f>ROUND(0.9335-0.0094*B113,4)</f>
        <v>0.86709999999999998</v>
      </c>
      <c r="C115" s="1015">
        <f>B115</f>
        <v>0.86709999999999998</v>
      </c>
      <c r="D115" s="1015">
        <f>ROUND(0.8331-0.0109*B113,4)</f>
        <v>0.75609999999999999</v>
      </c>
      <c r="E115" s="1015">
        <f>D115</f>
        <v>0.75609999999999999</v>
      </c>
      <c r="F115" s="1015">
        <f>E115</f>
        <v>0.75609999999999999</v>
      </c>
      <c r="G115" s="1015">
        <f>F115</f>
        <v>0.75609999999999999</v>
      </c>
      <c r="H115" s="1015">
        <f>G115</f>
        <v>0.75609999999999999</v>
      </c>
      <c r="I115" s="1015">
        <f>ROUND(0.689-0.0155*B113,4)</f>
        <v>0.57950000000000002</v>
      </c>
      <c r="J115" s="1015">
        <f t="shared" ref="J115:M118" si="33">I115</f>
        <v>0.57950000000000002</v>
      </c>
      <c r="K115" s="1015">
        <f t="shared" si="33"/>
        <v>0.57950000000000002</v>
      </c>
      <c r="L115" s="1015">
        <f t="shared" si="33"/>
        <v>0.57950000000000002</v>
      </c>
      <c r="M115" s="1016">
        <f t="shared" si="33"/>
        <v>0.57950000000000002</v>
      </c>
    </row>
    <row r="116" spans="1:13" ht="12.75">
      <c r="A116" s="1014" t="s">
        <v>891</v>
      </c>
      <c r="B116" s="1015">
        <f>ROUND(0.949-0.012*B113,4)</f>
        <v>0.86429999999999996</v>
      </c>
      <c r="C116" s="1015">
        <f>B116</f>
        <v>0.86429999999999996</v>
      </c>
      <c r="D116" s="1015">
        <f>ROUND(0.8567-0.013*B113,4)</f>
        <v>0.76490000000000002</v>
      </c>
      <c r="E116" s="1015">
        <f t="shared" ref="E116:H117" si="34">D116</f>
        <v>0.76490000000000002</v>
      </c>
      <c r="F116" s="1015">
        <f t="shared" si="34"/>
        <v>0.76490000000000002</v>
      </c>
      <c r="G116" s="1015">
        <f t="shared" si="34"/>
        <v>0.76490000000000002</v>
      </c>
      <c r="H116" s="1015">
        <f t="shared" si="34"/>
        <v>0.76490000000000002</v>
      </c>
      <c r="I116" s="1015">
        <f>ROUND(0.7694-0.014*B113,4)</f>
        <v>0.67049999999999998</v>
      </c>
      <c r="J116" s="1015">
        <f t="shared" si="33"/>
        <v>0.67049999999999998</v>
      </c>
      <c r="K116" s="1015">
        <f t="shared" si="33"/>
        <v>0.67049999999999998</v>
      </c>
      <c r="L116" s="1015">
        <f t="shared" si="33"/>
        <v>0.67049999999999998</v>
      </c>
      <c r="M116" s="1016">
        <f t="shared" si="33"/>
        <v>0.67049999999999998</v>
      </c>
    </row>
    <row r="117" spans="1:13" ht="12.75">
      <c r="A117" s="1017" t="s">
        <v>892</v>
      </c>
      <c r="B117" s="1015">
        <f>ROUND(0.8808-0.006*B113,4)</f>
        <v>0.83840000000000003</v>
      </c>
      <c r="C117" s="1015">
        <f>B117</f>
        <v>0.83840000000000003</v>
      </c>
      <c r="D117" s="1015">
        <f>ROUND(0.8748-0.008*B113,4)</f>
        <v>0.81830000000000003</v>
      </c>
      <c r="E117" s="1015">
        <f t="shared" si="34"/>
        <v>0.81830000000000003</v>
      </c>
      <c r="F117" s="1015">
        <f t="shared" si="34"/>
        <v>0.81830000000000003</v>
      </c>
      <c r="G117" s="1015">
        <f t="shared" si="34"/>
        <v>0.81830000000000003</v>
      </c>
      <c r="H117" s="1015">
        <f t="shared" si="34"/>
        <v>0.81830000000000003</v>
      </c>
      <c r="I117" s="1015">
        <f>ROUND(0.7412-0.0095*B113,4)</f>
        <v>0.67410000000000003</v>
      </c>
      <c r="J117" s="1015">
        <f t="shared" si="33"/>
        <v>0.67410000000000003</v>
      </c>
      <c r="K117" s="1015">
        <f t="shared" si="33"/>
        <v>0.67410000000000003</v>
      </c>
      <c r="L117" s="1015">
        <f t="shared" si="33"/>
        <v>0.67410000000000003</v>
      </c>
      <c r="M117" s="1016">
        <f t="shared" si="33"/>
        <v>0.67410000000000003</v>
      </c>
    </row>
    <row r="118" spans="1:13" ht="13.5" thickBot="1">
      <c r="A118" s="1018" t="s">
        <v>893</v>
      </c>
      <c r="B118" s="1019">
        <f>ROUND(0.7275-0.01*B113,4)</f>
        <v>0.65690000000000004</v>
      </c>
      <c r="C118" s="1019">
        <f>B118</f>
        <v>0.65690000000000004</v>
      </c>
      <c r="D118" s="1019">
        <f>ROUND(0.7043-0.012*B113,4)</f>
        <v>0.61960000000000004</v>
      </c>
      <c r="E118" s="1019">
        <f>D118</f>
        <v>0.61960000000000004</v>
      </c>
      <c r="F118" s="1019">
        <f>E118</f>
        <v>0.61960000000000004</v>
      </c>
      <c r="G118" s="1019">
        <f>ROUND(0.6299-0.0122*B113,4)</f>
        <v>0.54379999999999995</v>
      </c>
      <c r="H118" s="1019">
        <f>G118</f>
        <v>0.54379999999999995</v>
      </c>
      <c r="I118" s="1019">
        <f>ROUND(0.5667-0.0136*B113,4)</f>
        <v>0.47070000000000001</v>
      </c>
      <c r="J118" s="1019">
        <f t="shared" si="33"/>
        <v>0.47070000000000001</v>
      </c>
      <c r="K118" s="1019">
        <f t="shared" si="33"/>
        <v>0.47070000000000001</v>
      </c>
      <c r="L118" s="1019">
        <f t="shared" si="33"/>
        <v>0.47070000000000001</v>
      </c>
      <c r="M118" s="1020">
        <f t="shared" si="33"/>
        <v>0.47070000000000001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1421</v>
      </c>
      <c r="B1" s="1053" t="s">
        <v>897</v>
      </c>
      <c r="C1" s="1053" t="s">
        <v>898</v>
      </c>
      <c r="D1" s="1053" t="s">
        <v>899</v>
      </c>
      <c r="E1" s="1053" t="s">
        <v>900</v>
      </c>
      <c r="F1" s="1053" t="s">
        <v>901</v>
      </c>
      <c r="G1" s="1053" t="s">
        <v>902</v>
      </c>
      <c r="H1" s="1053" t="s">
        <v>903</v>
      </c>
      <c r="I1" s="1053" t="s">
        <v>904</v>
      </c>
      <c r="J1" s="1053" t="s">
        <v>905</v>
      </c>
      <c r="K1" s="1053" t="s">
        <v>906</v>
      </c>
      <c r="L1" s="1053" t="s">
        <v>907</v>
      </c>
      <c r="M1" s="1054" t="s">
        <v>908</v>
      </c>
    </row>
    <row r="2" spans="1:13" ht="19.5" customHeight="1">
      <c r="A2" s="1088" t="s">
        <v>997</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1019</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1021</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1422</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1423</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1424</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1425</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1426</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1427</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1428</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1429</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1430</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1431</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2945</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1432</v>
      </c>
      <c r="B16" s="1107"/>
      <c r="C16" s="1108"/>
      <c r="D16" s="1108"/>
      <c r="E16" s="1107"/>
      <c r="F16" s="1108"/>
      <c r="G16" s="1108"/>
    </row>
    <row r="17" spans="1:9" ht="19.5" customHeight="1">
      <c r="A17" s="1049" t="s">
        <v>1433</v>
      </c>
      <c r="B17" s="1109" t="s">
        <v>1434</v>
      </c>
      <c r="C17" s="1109" t="s">
        <v>1633</v>
      </c>
      <c r="D17" s="1110"/>
      <c r="E17" s="1049" t="s">
        <v>1435</v>
      </c>
      <c r="F17" s="1111"/>
      <c r="G17" s="1111"/>
    </row>
    <row r="18" spans="1:9" s="1526" customFormat="1" ht="19.5" customHeight="1">
      <c r="A18" s="3728" t="s">
        <v>997</v>
      </c>
      <c r="B18" s="1135" t="s">
        <v>1436</v>
      </c>
      <c r="C18" s="1112" t="s">
        <v>1437</v>
      </c>
      <c r="D18" s="1113"/>
      <c r="E18" s="1135">
        <v>1</v>
      </c>
      <c r="F18" s="1114" t="s">
        <v>1438</v>
      </c>
      <c r="G18" s="1115"/>
      <c r="H18" s="1086"/>
      <c r="I18" s="1086"/>
    </row>
    <row r="19" spans="1:9" s="1526" customFormat="1" ht="19.5" customHeight="1">
      <c r="A19" s="3728"/>
      <c r="B19" s="3728" t="s">
        <v>1439</v>
      </c>
      <c r="C19" s="1112" t="s">
        <v>1440</v>
      </c>
      <c r="D19" s="1113"/>
      <c r="E19" s="1135">
        <v>0.9</v>
      </c>
      <c r="F19" s="1114" t="s">
        <v>1441</v>
      </c>
      <c r="G19" s="1115"/>
      <c r="H19" s="1086"/>
      <c r="I19" s="1086"/>
    </row>
    <row r="20" spans="1:9" s="1526" customFormat="1" ht="19.5" customHeight="1">
      <c r="A20" s="3728"/>
      <c r="B20" s="3728"/>
      <c r="C20" s="1112" t="s">
        <v>1442</v>
      </c>
      <c r="D20" s="1113"/>
      <c r="E20" s="1135">
        <v>1.1000000000000001</v>
      </c>
      <c r="F20" s="1114" t="s">
        <v>1443</v>
      </c>
      <c r="G20" s="1115"/>
      <c r="H20" s="1086"/>
      <c r="I20" s="1086"/>
    </row>
    <row r="21" spans="1:9" s="1526" customFormat="1" ht="19.5" customHeight="1">
      <c r="A21" s="3728"/>
      <c r="B21" s="3728"/>
      <c r="C21" s="1112" t="s">
        <v>1444</v>
      </c>
      <c r="D21" s="1113"/>
      <c r="E21" s="1135">
        <v>0.8</v>
      </c>
      <c r="F21" s="1114" t="s">
        <v>1445</v>
      </c>
      <c r="G21" s="1115"/>
      <c r="H21" s="1086"/>
      <c r="I21" s="1086"/>
    </row>
    <row r="22" spans="1:9" s="1526" customFormat="1" ht="19.5" customHeight="1">
      <c r="A22" s="3728"/>
      <c r="B22" s="3728"/>
      <c r="C22" s="1112" t="s">
        <v>1446</v>
      </c>
      <c r="D22" s="1113"/>
      <c r="E22" s="1135">
        <v>0.5</v>
      </c>
      <c r="F22" s="1114"/>
      <c r="G22" s="1115"/>
      <c r="H22" s="1086"/>
      <c r="I22" s="1086"/>
    </row>
    <row r="23" spans="1:9" s="1526" customFormat="1" ht="19.5" customHeight="1">
      <c r="A23" s="3728" t="s">
        <v>1019</v>
      </c>
      <c r="B23" s="1135" t="s">
        <v>1436</v>
      </c>
      <c r="C23" s="1112" t="s">
        <v>1447</v>
      </c>
      <c r="D23" s="1113"/>
      <c r="E23" s="1135">
        <v>1</v>
      </c>
      <c r="F23" s="1114" t="s">
        <v>1448</v>
      </c>
      <c r="G23" s="1115"/>
      <c r="H23" s="1086"/>
      <c r="I23" s="1086"/>
    </row>
    <row r="24" spans="1:9" s="1526" customFormat="1" ht="19.5" customHeight="1">
      <c r="A24" s="3728"/>
      <c r="B24" s="3728" t="s">
        <v>1439</v>
      </c>
      <c r="C24" s="1112" t="s">
        <v>1449</v>
      </c>
      <c r="D24" s="1113"/>
      <c r="E24" s="1135">
        <v>0.5</v>
      </c>
      <c r="F24" s="1114"/>
      <c r="G24" s="1115"/>
      <c r="H24" s="1086"/>
      <c r="I24" s="1086"/>
    </row>
    <row r="25" spans="1:9" s="1526" customFormat="1" ht="19.5" customHeight="1">
      <c r="A25" s="3728"/>
      <c r="B25" s="3728"/>
      <c r="C25" s="1112" t="s">
        <v>1450</v>
      </c>
      <c r="D25" s="1113"/>
      <c r="E25" s="1135">
        <v>1.1000000000000001</v>
      </c>
      <c r="F25" s="1114"/>
      <c r="G25" s="1115"/>
      <c r="H25" s="1086"/>
      <c r="I25" s="1086"/>
    </row>
    <row r="26" spans="1:9" s="1526" customFormat="1" ht="19.5" customHeight="1">
      <c r="A26" s="3728"/>
      <c r="B26" s="3728"/>
      <c r="C26" s="1112" t="s">
        <v>1451</v>
      </c>
      <c r="D26" s="1113"/>
      <c r="E26" s="1135">
        <v>1.1000000000000001</v>
      </c>
      <c r="F26" s="1114"/>
      <c r="G26" s="1115"/>
      <c r="H26" s="1086"/>
      <c r="I26" s="1086"/>
    </row>
    <row r="27" spans="1:9" s="1526" customFormat="1" ht="19.5" customHeight="1">
      <c r="A27" s="3728"/>
      <c r="B27" s="3728"/>
      <c r="C27" s="1112" t="s">
        <v>1452</v>
      </c>
      <c r="D27" s="1113"/>
      <c r="E27" s="1135">
        <v>0.9</v>
      </c>
      <c r="F27" s="1114" t="s">
        <v>1453</v>
      </c>
      <c r="G27" s="1115"/>
      <c r="H27" s="1086"/>
      <c r="I27" s="1086"/>
    </row>
    <row r="28" spans="1:9" s="1526" customFormat="1" ht="19.5" customHeight="1">
      <c r="A28" s="3728"/>
      <c r="B28" s="3728"/>
      <c r="C28" s="1112" t="s">
        <v>1454</v>
      </c>
      <c r="D28" s="1113"/>
      <c r="E28" s="1135">
        <v>0.9</v>
      </c>
      <c r="F28" s="1114" t="s">
        <v>1455</v>
      </c>
      <c r="G28" s="1115"/>
      <c r="H28" s="1086"/>
      <c r="I28" s="1086"/>
    </row>
    <row r="29" spans="1:9" s="1526" customFormat="1" ht="19.5" customHeight="1">
      <c r="A29" s="3728"/>
      <c r="B29" s="3728"/>
      <c r="C29" s="1112" t="s">
        <v>1456</v>
      </c>
      <c r="D29" s="1113"/>
      <c r="E29" s="1135">
        <v>0.9</v>
      </c>
      <c r="F29" s="1114" t="s">
        <v>1457</v>
      </c>
      <c r="G29" s="1115"/>
      <c r="H29" s="1086"/>
      <c r="I29" s="1086"/>
    </row>
    <row r="30" spans="1:9" s="1526" customFormat="1" ht="19.5" customHeight="1">
      <c r="A30" s="3728"/>
      <c r="B30" s="3728"/>
      <c r="C30" s="1112" t="s">
        <v>1458</v>
      </c>
      <c r="D30" s="1113"/>
      <c r="E30" s="1135">
        <v>0.9</v>
      </c>
      <c r="F30" s="1114" t="s">
        <v>1459</v>
      </c>
      <c r="G30" s="1115"/>
      <c r="H30" s="1086"/>
      <c r="I30" s="1086"/>
    </row>
    <row r="31" spans="1:9" s="1526" customFormat="1" ht="19.5" customHeight="1">
      <c r="A31" s="3728"/>
      <c r="B31" s="3728"/>
      <c r="C31" s="1112" t="s">
        <v>1460</v>
      </c>
      <c r="D31" s="1113"/>
      <c r="E31" s="1135">
        <v>0.8</v>
      </c>
      <c r="F31" s="1114" t="s">
        <v>1461</v>
      </c>
      <c r="G31" s="1115"/>
      <c r="H31" s="1086"/>
      <c r="I31" s="1086"/>
    </row>
    <row r="32" spans="1:9" s="1526" customFormat="1" ht="19.5" customHeight="1">
      <c r="A32" s="3728"/>
      <c r="B32" s="3728"/>
      <c r="C32" s="1112" t="s">
        <v>1462</v>
      </c>
      <c r="D32" s="1113"/>
      <c r="E32" s="1135">
        <v>0.8</v>
      </c>
      <c r="F32" s="1114" t="s">
        <v>1463</v>
      </c>
      <c r="G32" s="1115"/>
      <c r="H32" s="1086"/>
      <c r="I32" s="1086"/>
    </row>
    <row r="33" spans="1:9" s="1526" customFormat="1" ht="19.5" customHeight="1">
      <c r="A33" s="3728" t="s">
        <v>1464</v>
      </c>
      <c r="B33" s="1135" t="s">
        <v>1436</v>
      </c>
      <c r="C33" s="1112" t="s">
        <v>1465</v>
      </c>
      <c r="D33" s="1113"/>
      <c r="E33" s="1135">
        <v>1</v>
      </c>
      <c r="F33" s="1114" t="s">
        <v>1466</v>
      </c>
      <c r="G33" s="1115"/>
      <c r="H33" s="1086"/>
      <c r="I33" s="1086"/>
    </row>
    <row r="34" spans="1:9" s="1526" customFormat="1" ht="19.5" customHeight="1">
      <c r="A34" s="3728"/>
      <c r="B34" s="1135" t="s">
        <v>1439</v>
      </c>
      <c r="C34" s="1112" t="s">
        <v>1467</v>
      </c>
      <c r="D34" s="1113"/>
      <c r="E34" s="1135">
        <v>1.5</v>
      </c>
      <c r="F34" s="1114" t="s">
        <v>1468</v>
      </c>
      <c r="G34" s="1115"/>
      <c r="H34" s="1086"/>
      <c r="I34" s="1086"/>
    </row>
    <row r="35" spans="1:9" s="1526" customFormat="1" ht="19.5" customHeight="1">
      <c r="A35" s="3728" t="s">
        <v>1422</v>
      </c>
      <c r="B35" s="1135" t="s">
        <v>1436</v>
      </c>
      <c r="C35" s="1112" t="s">
        <v>1469</v>
      </c>
      <c r="D35" s="1113"/>
      <c r="E35" s="1135">
        <v>1</v>
      </c>
      <c r="F35" s="1114" t="s">
        <v>1470</v>
      </c>
      <c r="G35" s="1115"/>
      <c r="H35" s="1086"/>
      <c r="I35" s="1086"/>
    </row>
    <row r="36" spans="1:9" s="1526" customFormat="1" ht="19.5" customHeight="1">
      <c r="A36" s="3728"/>
      <c r="B36" s="3728" t="s">
        <v>1439</v>
      </c>
      <c r="C36" s="1112" t="s">
        <v>1471</v>
      </c>
      <c r="D36" s="1113"/>
      <c r="E36" s="1135">
        <v>1</v>
      </c>
      <c r="F36" s="1114" t="s">
        <v>1472</v>
      </c>
      <c r="G36" s="1115"/>
      <c r="H36" s="1086"/>
      <c r="I36" s="1086"/>
    </row>
    <row r="37" spans="1:9" s="1526" customFormat="1" ht="19.5" customHeight="1">
      <c r="A37" s="3728"/>
      <c r="B37" s="3728"/>
      <c r="C37" s="1112" t="s">
        <v>1473</v>
      </c>
      <c r="D37" s="1113"/>
      <c r="E37" s="1135">
        <v>1.5</v>
      </c>
      <c r="F37" s="1114" t="s">
        <v>1474</v>
      </c>
      <c r="G37" s="1115"/>
      <c r="H37" s="1086"/>
      <c r="I37" s="1086"/>
    </row>
    <row r="38" spans="1:9" s="1526" customFormat="1" ht="19.5" customHeight="1">
      <c r="A38" s="3728"/>
      <c r="B38" s="3728"/>
      <c r="C38" s="1112" t="s">
        <v>1475</v>
      </c>
      <c r="D38" s="1113"/>
      <c r="E38" s="1135">
        <v>1</v>
      </c>
      <c r="F38" s="1114" t="s">
        <v>1476</v>
      </c>
      <c r="G38" s="1115"/>
      <c r="H38" s="1086"/>
      <c r="I38" s="1086"/>
    </row>
    <row r="39" spans="1:9" s="1526" customFormat="1" ht="19.5" customHeight="1">
      <c r="A39" s="3728"/>
      <c r="B39" s="3728"/>
      <c r="C39" s="1112" t="s">
        <v>1477</v>
      </c>
      <c r="D39" s="1113"/>
      <c r="E39" s="1135">
        <v>1</v>
      </c>
      <c r="F39" s="1114" t="s">
        <v>1478</v>
      </c>
      <c r="G39" s="1115"/>
      <c r="H39" s="1086"/>
      <c r="I39" s="1086"/>
    </row>
    <row r="40" spans="1:9" s="1526" customFormat="1" ht="19.5" customHeight="1">
      <c r="A40" s="1527" t="s">
        <v>1479</v>
      </c>
      <c r="B40" s="1527"/>
      <c r="C40" s="1527"/>
      <c r="D40" s="1527"/>
      <c r="E40" s="1527"/>
      <c r="F40" s="1114"/>
      <c r="G40" s="1114"/>
      <c r="H40" s="1086"/>
      <c r="I40" s="1086"/>
    </row>
    <row r="42" spans="1:9" ht="19.5" customHeight="1">
      <c r="A42" s="1116"/>
      <c r="B42" s="1049" t="s">
        <v>1480</v>
      </c>
      <c r="C42" s="1049" t="s">
        <v>1480</v>
      </c>
      <c r="D42" s="1049" t="s">
        <v>1480</v>
      </c>
      <c r="E42" s="1134" t="s">
        <v>1480</v>
      </c>
      <c r="F42" s="1134" t="s">
        <v>1480</v>
      </c>
      <c r="G42" s="1134" t="s">
        <v>1481</v>
      </c>
      <c r="H42" s="1134" t="s">
        <v>1480</v>
      </c>
    </row>
    <row r="43" spans="1:9" ht="19.5" customHeight="1">
      <c r="A43" s="1117"/>
      <c r="B43" s="1134" t="s">
        <v>997</v>
      </c>
      <c r="C43" s="1134" t="s">
        <v>997</v>
      </c>
      <c r="D43" s="1134" t="s">
        <v>997</v>
      </c>
      <c r="E43" s="1134" t="s">
        <v>997</v>
      </c>
      <c r="F43" s="1049" t="s">
        <v>1019</v>
      </c>
      <c r="G43" s="1049" t="s">
        <v>1422</v>
      </c>
      <c r="H43" s="1049" t="s">
        <v>1482</v>
      </c>
    </row>
    <row r="44" spans="1:9" ht="19.5" customHeight="1">
      <c r="A44" s="1118"/>
      <c r="B44" s="1049">
        <v>1</v>
      </c>
      <c r="C44" s="1049">
        <v>2</v>
      </c>
      <c r="D44" s="1049">
        <v>3</v>
      </c>
      <c r="E44" s="1134">
        <v>4</v>
      </c>
      <c r="F44" s="1110" t="s">
        <v>1483</v>
      </c>
      <c r="G44" s="1110" t="s">
        <v>1483</v>
      </c>
      <c r="H44" s="1110" t="s">
        <v>1483</v>
      </c>
    </row>
    <row r="45" spans="1:9" ht="19.5" customHeight="1">
      <c r="A45" s="1133" t="s">
        <v>897</v>
      </c>
      <c r="B45" s="1049">
        <v>0.8</v>
      </c>
      <c r="C45" s="1049">
        <v>0.5</v>
      </c>
      <c r="D45" s="1049">
        <v>0.36</v>
      </c>
      <c r="E45" s="1049">
        <v>0.3</v>
      </c>
      <c r="F45" s="1110">
        <v>0.3</v>
      </c>
      <c r="G45" s="1049">
        <v>0.3</v>
      </c>
      <c r="H45" s="1049">
        <v>0.25</v>
      </c>
    </row>
    <row r="46" spans="1:9" ht="19.5" customHeight="1">
      <c r="A46" s="1133" t="s">
        <v>898</v>
      </c>
      <c r="B46" s="1049">
        <v>0.8</v>
      </c>
      <c r="C46" s="1049">
        <v>0.5</v>
      </c>
      <c r="D46" s="1049">
        <v>0.36</v>
      </c>
      <c r="E46" s="1049">
        <v>0.3</v>
      </c>
      <c r="F46" s="1049">
        <v>0.3</v>
      </c>
      <c r="G46" s="1049">
        <v>0.3</v>
      </c>
      <c r="H46" s="1049">
        <v>0.25</v>
      </c>
    </row>
    <row r="47" spans="1:9" ht="19.5" customHeight="1">
      <c r="A47" s="1133" t="s">
        <v>899</v>
      </c>
      <c r="B47" s="1049">
        <v>0.7</v>
      </c>
      <c r="C47" s="1049">
        <v>0.4</v>
      </c>
      <c r="D47" s="1049">
        <v>0.28000000000000003</v>
      </c>
      <c r="E47" s="1049">
        <v>0.25</v>
      </c>
      <c r="F47" s="1049">
        <v>0.25</v>
      </c>
      <c r="G47" s="1049">
        <v>0.25</v>
      </c>
      <c r="H47" s="1049">
        <v>0.2</v>
      </c>
    </row>
    <row r="48" spans="1:9" ht="19.5" customHeight="1">
      <c r="A48" s="1133" t="s">
        <v>900</v>
      </c>
      <c r="B48" s="1049">
        <v>0.7</v>
      </c>
      <c r="C48" s="1049">
        <v>0.4</v>
      </c>
      <c r="D48" s="1049">
        <v>0.28000000000000003</v>
      </c>
      <c r="E48" s="1049">
        <v>0.25</v>
      </c>
      <c r="F48" s="1049">
        <v>0.25</v>
      </c>
      <c r="G48" s="1049">
        <v>0.25</v>
      </c>
      <c r="H48" s="1049">
        <v>0.2</v>
      </c>
    </row>
    <row r="49" spans="1:8" s="1086" customFormat="1" ht="19.5" customHeight="1">
      <c r="A49" s="1133" t="s">
        <v>901</v>
      </c>
      <c r="B49" s="1049">
        <v>0.7</v>
      </c>
      <c r="C49" s="1049">
        <v>0.4</v>
      </c>
      <c r="D49" s="1049">
        <v>0.28000000000000003</v>
      </c>
      <c r="E49" s="1049">
        <v>0.25</v>
      </c>
      <c r="F49" s="1049">
        <v>0.25</v>
      </c>
      <c r="G49" s="1049">
        <v>0.25</v>
      </c>
      <c r="H49" s="1049">
        <v>0.2</v>
      </c>
    </row>
    <row r="50" spans="1:8" s="1086" customFormat="1" ht="19.5" customHeight="1">
      <c r="A50" s="1133" t="s">
        <v>902</v>
      </c>
      <c r="B50" s="1049">
        <v>0.7</v>
      </c>
      <c r="C50" s="1049">
        <v>0.4</v>
      </c>
      <c r="D50" s="1049">
        <v>0.28000000000000003</v>
      </c>
      <c r="E50" s="1049">
        <v>0.25</v>
      </c>
      <c r="F50" s="1049">
        <v>0.25</v>
      </c>
      <c r="G50" s="1049">
        <v>0.25</v>
      </c>
      <c r="H50" s="1049">
        <v>0.2</v>
      </c>
    </row>
    <row r="51" spans="1:8" s="1086" customFormat="1" ht="19.5" customHeight="1">
      <c r="A51" s="1133" t="s">
        <v>903</v>
      </c>
      <c r="B51" s="1049">
        <v>0.7</v>
      </c>
      <c r="C51" s="1049">
        <v>0.4</v>
      </c>
      <c r="D51" s="1049">
        <v>0.28000000000000003</v>
      </c>
      <c r="E51" s="1049">
        <v>0.25</v>
      </c>
      <c r="F51" s="1049">
        <v>0.25</v>
      </c>
      <c r="G51" s="1049">
        <v>0.25</v>
      </c>
      <c r="H51" s="1049">
        <v>0.2</v>
      </c>
    </row>
    <row r="52" spans="1:8" s="1086" customFormat="1" ht="19.5" customHeight="1">
      <c r="A52" s="1133" t="s">
        <v>904</v>
      </c>
      <c r="B52" s="1049">
        <v>0.6</v>
      </c>
      <c r="C52" s="1049">
        <v>0.3</v>
      </c>
      <c r="D52" s="1049">
        <v>0.2</v>
      </c>
      <c r="E52" s="1049">
        <v>0.2</v>
      </c>
      <c r="F52" s="1049">
        <v>0.2</v>
      </c>
      <c r="G52" s="1049">
        <v>0.2</v>
      </c>
      <c r="H52" s="1049">
        <v>0.15</v>
      </c>
    </row>
    <row r="53" spans="1:8" s="1086" customFormat="1" ht="19.5" customHeight="1">
      <c r="A53" s="1133" t="s">
        <v>905</v>
      </c>
      <c r="B53" s="1049">
        <v>0.6</v>
      </c>
      <c r="C53" s="1049">
        <v>0.3</v>
      </c>
      <c r="D53" s="1049">
        <v>0.2</v>
      </c>
      <c r="E53" s="1049">
        <v>0.2</v>
      </c>
      <c r="F53" s="1049">
        <v>0.2</v>
      </c>
      <c r="G53" s="1049">
        <v>0.2</v>
      </c>
      <c r="H53" s="1049">
        <v>0.15</v>
      </c>
    </row>
    <row r="54" spans="1:8" s="1086" customFormat="1" ht="19.5" customHeight="1">
      <c r="A54" s="1133" t="s">
        <v>906</v>
      </c>
      <c r="B54" s="1049">
        <v>0.6</v>
      </c>
      <c r="C54" s="1049">
        <v>0.3</v>
      </c>
      <c r="D54" s="1049">
        <v>0.2</v>
      </c>
      <c r="E54" s="1049">
        <v>0.2</v>
      </c>
      <c r="F54" s="1049">
        <v>0.2</v>
      </c>
      <c r="G54" s="1049">
        <v>0.2</v>
      </c>
      <c r="H54" s="1049">
        <v>0.15</v>
      </c>
    </row>
    <row r="55" spans="1:8" s="1086" customFormat="1" ht="19.5" customHeight="1">
      <c r="A55" s="1133" t="s">
        <v>907</v>
      </c>
      <c r="B55" s="1049">
        <v>0.6</v>
      </c>
      <c r="C55" s="1049">
        <v>0.3</v>
      </c>
      <c r="D55" s="1049">
        <v>0.2</v>
      </c>
      <c r="E55" s="1049">
        <v>0.2</v>
      </c>
      <c r="F55" s="1049">
        <v>0.2</v>
      </c>
      <c r="G55" s="1049">
        <v>0.2</v>
      </c>
      <c r="H55" s="1049">
        <v>0.15</v>
      </c>
    </row>
    <row r="56" spans="1:8" s="1086" customFormat="1" ht="19.5" customHeight="1">
      <c r="A56" s="1133" t="s">
        <v>908</v>
      </c>
      <c r="B56" s="1049">
        <v>0.6</v>
      </c>
      <c r="C56" s="1049">
        <v>0.3</v>
      </c>
      <c r="D56" s="1049">
        <v>0.2</v>
      </c>
      <c r="E56" s="1049">
        <v>0.2</v>
      </c>
      <c r="F56" s="1049">
        <v>0.2</v>
      </c>
      <c r="G56" s="1049">
        <v>0.2</v>
      </c>
      <c r="H56" s="1049">
        <v>0.15</v>
      </c>
    </row>
    <row r="58" spans="1:8" s="1086" customFormat="1" ht="19.5" customHeight="1">
      <c r="A58" s="1119"/>
      <c r="B58" s="1107"/>
      <c r="C58" s="1107"/>
      <c r="D58" s="1107" t="s">
        <v>1484</v>
      </c>
      <c r="E58" s="1107"/>
      <c r="F58" s="1107"/>
    </row>
    <row r="59" spans="1:8" s="1086" customFormat="1" ht="19.5" customHeight="1">
      <c r="A59" s="1135" t="s">
        <v>1485</v>
      </c>
      <c r="B59" s="1135" t="s">
        <v>1486</v>
      </c>
      <c r="C59" s="1135" t="s">
        <v>1487</v>
      </c>
      <c r="D59" s="1135" t="s">
        <v>1488</v>
      </c>
      <c r="E59" s="1135" t="s">
        <v>1489</v>
      </c>
      <c r="F59" s="1135" t="s">
        <v>1490</v>
      </c>
    </row>
    <row r="60" spans="1:8" s="1086" customFormat="1" ht="19.5" customHeight="1">
      <c r="A60" s="1135"/>
      <c r="B60" s="1135"/>
      <c r="C60" s="1135" t="s">
        <v>1622</v>
      </c>
      <c r="D60" s="1135"/>
      <c r="E60" s="1120" t="s">
        <v>1431</v>
      </c>
      <c r="F60" s="1135" t="s">
        <v>1431</v>
      </c>
    </row>
    <row r="61" spans="1:8" s="1086" customFormat="1" ht="24">
      <c r="A61" s="1135">
        <v>1</v>
      </c>
      <c r="B61" s="3728" t="s">
        <v>1491</v>
      </c>
      <c r="C61" s="1049" t="s">
        <v>1492</v>
      </c>
      <c r="D61" s="1049" t="s">
        <v>1493</v>
      </c>
      <c r="E61" s="1120">
        <v>0.5</v>
      </c>
      <c r="F61" s="1135">
        <v>80</v>
      </c>
      <c r="H61" s="1086">
        <f>SUMIF(C59:C119,基准地价!C8,E59:E119)</f>
        <v>0</v>
      </c>
    </row>
    <row r="62" spans="1:8" s="1086" customFormat="1" ht="24">
      <c r="A62" s="1135">
        <v>2</v>
      </c>
      <c r="B62" s="3728"/>
      <c r="C62" s="1049" t="s">
        <v>1494</v>
      </c>
      <c r="D62" s="1049" t="s">
        <v>1495</v>
      </c>
      <c r="E62" s="1120">
        <v>0.5</v>
      </c>
      <c r="F62" s="1135">
        <v>80</v>
      </c>
    </row>
    <row r="63" spans="1:8" s="1086" customFormat="1" ht="36">
      <c r="A63" s="1135">
        <v>3</v>
      </c>
      <c r="B63" s="3728"/>
      <c r="C63" s="1049" t="s">
        <v>1496</v>
      </c>
      <c r="D63" s="1049" t="s">
        <v>1497</v>
      </c>
      <c r="E63" s="1120">
        <v>0.5</v>
      </c>
      <c r="F63" s="1135">
        <v>80</v>
      </c>
    </row>
    <row r="64" spans="1:8" s="1086" customFormat="1" ht="36">
      <c r="A64" s="1135">
        <v>4</v>
      </c>
      <c r="B64" s="3728"/>
      <c r="C64" s="1049" t="s">
        <v>1498</v>
      </c>
      <c r="D64" s="1049" t="s">
        <v>1499</v>
      </c>
      <c r="E64" s="1120">
        <v>0.4</v>
      </c>
      <c r="F64" s="1135">
        <v>60</v>
      </c>
    </row>
    <row r="65" spans="1:6" s="1086" customFormat="1" ht="36">
      <c r="A65" s="1135">
        <v>5</v>
      </c>
      <c r="B65" s="3728"/>
      <c r="C65" s="1049" t="s">
        <v>1500</v>
      </c>
      <c r="D65" s="1049" t="s">
        <v>1501</v>
      </c>
      <c r="E65" s="1120">
        <v>0.2</v>
      </c>
      <c r="F65" s="1135">
        <v>30</v>
      </c>
    </row>
    <row r="66" spans="1:6" s="1086" customFormat="1" ht="36">
      <c r="A66" s="1135">
        <v>6</v>
      </c>
      <c r="B66" s="3728"/>
      <c r="C66" s="1049" t="s">
        <v>1502</v>
      </c>
      <c r="D66" s="1049" t="s">
        <v>1503</v>
      </c>
      <c r="E66" s="1120">
        <v>0.3</v>
      </c>
      <c r="F66" s="1135">
        <v>50</v>
      </c>
    </row>
    <row r="67" spans="1:6" s="1086" customFormat="1" ht="36">
      <c r="A67" s="1135">
        <v>7</v>
      </c>
      <c r="B67" s="3728"/>
      <c r="C67" s="1049" t="s">
        <v>1504</v>
      </c>
      <c r="D67" s="1049" t="s">
        <v>1505</v>
      </c>
      <c r="E67" s="1120">
        <v>0.2</v>
      </c>
      <c r="F67" s="1135">
        <v>30</v>
      </c>
    </row>
    <row r="68" spans="1:6" s="1086" customFormat="1" ht="36">
      <c r="A68" s="1135">
        <v>8</v>
      </c>
      <c r="B68" s="3728"/>
      <c r="C68" s="1049" t="s">
        <v>1506</v>
      </c>
      <c r="D68" s="1049" t="s">
        <v>1507</v>
      </c>
      <c r="E68" s="1120">
        <v>0.2</v>
      </c>
      <c r="F68" s="1135">
        <v>30</v>
      </c>
    </row>
    <row r="69" spans="1:6" s="1086" customFormat="1" ht="36">
      <c r="A69" s="1135">
        <v>9</v>
      </c>
      <c r="B69" s="3728"/>
      <c r="C69" s="1049" t="s">
        <v>1508</v>
      </c>
      <c r="D69" s="1049" t="s">
        <v>1509</v>
      </c>
      <c r="E69" s="1120">
        <v>0.2</v>
      </c>
      <c r="F69" s="1135">
        <v>30</v>
      </c>
    </row>
    <row r="70" spans="1:6" s="1086" customFormat="1" ht="48">
      <c r="A70" s="1135">
        <v>10</v>
      </c>
      <c r="B70" s="3728"/>
      <c r="C70" s="1049" t="s">
        <v>1510</v>
      </c>
      <c r="D70" s="1049" t="s">
        <v>1511</v>
      </c>
      <c r="E70" s="1120">
        <v>0.2</v>
      </c>
      <c r="F70" s="1135">
        <v>30</v>
      </c>
    </row>
    <row r="71" spans="1:6" s="1086" customFormat="1" ht="48">
      <c r="A71" s="1135">
        <v>11</v>
      </c>
      <c r="B71" s="3728"/>
      <c r="C71" s="1049" t="s">
        <v>1512</v>
      </c>
      <c r="D71" s="1049" t="s">
        <v>1513</v>
      </c>
      <c r="E71" s="1120">
        <v>0.2</v>
      </c>
      <c r="F71" s="1135">
        <v>30</v>
      </c>
    </row>
    <row r="72" spans="1:6" s="1086" customFormat="1" ht="36">
      <c r="A72" s="1135">
        <v>12</v>
      </c>
      <c r="B72" s="3728"/>
      <c r="C72" s="1049" t="s">
        <v>1514</v>
      </c>
      <c r="D72" s="1049" t="s">
        <v>1515</v>
      </c>
      <c r="E72" s="1120">
        <v>0.5</v>
      </c>
      <c r="F72" s="1135">
        <v>80</v>
      </c>
    </row>
    <row r="73" spans="1:6" s="1086" customFormat="1" ht="24">
      <c r="A73" s="1135">
        <v>13</v>
      </c>
      <c r="B73" s="3728"/>
      <c r="C73" s="1049" t="s">
        <v>1516</v>
      </c>
      <c r="D73" s="1049" t="s">
        <v>1517</v>
      </c>
      <c r="E73" s="1120">
        <v>0.4</v>
      </c>
      <c r="F73" s="1135">
        <v>60</v>
      </c>
    </row>
    <row r="74" spans="1:6" s="1086" customFormat="1" ht="24">
      <c r="A74" s="1135">
        <v>14</v>
      </c>
      <c r="B74" s="3728"/>
      <c r="C74" s="1049" t="s">
        <v>1518</v>
      </c>
      <c r="D74" s="1049" t="s">
        <v>1519</v>
      </c>
      <c r="E74" s="1120">
        <v>0.2</v>
      </c>
      <c r="F74" s="1135">
        <v>30</v>
      </c>
    </row>
    <row r="75" spans="1:6" s="1086" customFormat="1" ht="24">
      <c r="A75" s="1135">
        <v>15</v>
      </c>
      <c r="B75" s="3728"/>
      <c r="C75" s="1049" t="s">
        <v>1520</v>
      </c>
      <c r="D75" s="1049" t="s">
        <v>1521</v>
      </c>
      <c r="E75" s="1120">
        <v>0.2</v>
      </c>
      <c r="F75" s="1135">
        <v>30</v>
      </c>
    </row>
    <row r="76" spans="1:6" s="1086" customFormat="1" ht="24">
      <c r="A76" s="1135">
        <v>16</v>
      </c>
      <c r="B76" s="3728" t="s">
        <v>1522</v>
      </c>
      <c r="C76" s="1049" t="s">
        <v>1523</v>
      </c>
      <c r="D76" s="1049" t="s">
        <v>1524</v>
      </c>
      <c r="E76" s="1120">
        <v>0.5</v>
      </c>
      <c r="F76" s="1135">
        <v>80</v>
      </c>
    </row>
    <row r="77" spans="1:6" s="1086" customFormat="1" ht="24">
      <c r="A77" s="1135">
        <v>17</v>
      </c>
      <c r="B77" s="3728"/>
      <c r="C77" s="1049" t="s">
        <v>1525</v>
      </c>
      <c r="D77" s="1049" t="s">
        <v>1526</v>
      </c>
      <c r="E77" s="1120">
        <v>0.5</v>
      </c>
      <c r="F77" s="1135">
        <v>80</v>
      </c>
    </row>
    <row r="78" spans="1:6" s="1086" customFormat="1" ht="24">
      <c r="A78" s="1135">
        <v>18</v>
      </c>
      <c r="B78" s="3728"/>
      <c r="C78" s="1049" t="s">
        <v>1527</v>
      </c>
      <c r="D78" s="1049" t="s">
        <v>1528</v>
      </c>
      <c r="E78" s="1120">
        <v>0.2</v>
      </c>
      <c r="F78" s="1135">
        <v>30</v>
      </c>
    </row>
    <row r="79" spans="1:6" s="1086" customFormat="1" ht="24">
      <c r="A79" s="1135">
        <v>19</v>
      </c>
      <c r="B79" s="3728"/>
      <c r="C79" s="1049" t="s">
        <v>1529</v>
      </c>
      <c r="D79" s="1049" t="s">
        <v>1530</v>
      </c>
      <c r="E79" s="1120">
        <v>0.5</v>
      </c>
      <c r="F79" s="1135">
        <v>80</v>
      </c>
    </row>
    <row r="80" spans="1:6" s="1086" customFormat="1" ht="36">
      <c r="A80" s="1135">
        <v>20</v>
      </c>
      <c r="B80" s="3728"/>
      <c r="C80" s="1049" t="s">
        <v>1531</v>
      </c>
      <c r="D80" s="1049" t="s">
        <v>1532</v>
      </c>
      <c r="E80" s="1120">
        <v>0.2</v>
      </c>
      <c r="F80" s="1135">
        <v>30</v>
      </c>
    </row>
    <row r="81" spans="1:6" s="1086" customFormat="1" ht="36">
      <c r="A81" s="1135">
        <v>21</v>
      </c>
      <c r="B81" s="3728"/>
      <c r="C81" s="1049" t="s">
        <v>1533</v>
      </c>
      <c r="D81" s="1049" t="s">
        <v>1534</v>
      </c>
      <c r="E81" s="1120">
        <v>0.2</v>
      </c>
      <c r="F81" s="1135">
        <v>30</v>
      </c>
    </row>
    <row r="82" spans="1:6" s="1086" customFormat="1" ht="48">
      <c r="A82" s="1135">
        <v>22</v>
      </c>
      <c r="B82" s="3728"/>
      <c r="C82" s="1049" t="s">
        <v>1535</v>
      </c>
      <c r="D82" s="1049" t="s">
        <v>1536</v>
      </c>
      <c r="E82" s="1120">
        <v>0.2</v>
      </c>
      <c r="F82" s="1135">
        <v>30</v>
      </c>
    </row>
    <row r="83" spans="1:6" s="1086" customFormat="1" ht="48">
      <c r="A83" s="1135">
        <v>23</v>
      </c>
      <c r="B83" s="3728"/>
      <c r="C83" s="1049" t="s">
        <v>1537</v>
      </c>
      <c r="D83" s="1049" t="s">
        <v>1538</v>
      </c>
      <c r="E83" s="1120">
        <v>0.2</v>
      </c>
      <c r="F83" s="1135">
        <v>30</v>
      </c>
    </row>
    <row r="84" spans="1:6" s="1086" customFormat="1" ht="36">
      <c r="A84" s="1135">
        <v>24</v>
      </c>
      <c r="B84" s="3728"/>
      <c r="C84" s="1049" t="s">
        <v>1539</v>
      </c>
      <c r="D84" s="1049" t="s">
        <v>1540</v>
      </c>
      <c r="E84" s="1120">
        <v>0.2</v>
      </c>
      <c r="F84" s="1135">
        <v>30</v>
      </c>
    </row>
    <row r="85" spans="1:6" s="1086" customFormat="1" ht="36">
      <c r="A85" s="1135">
        <v>25</v>
      </c>
      <c r="B85" s="3728"/>
      <c r="C85" s="1049" t="s">
        <v>1541</v>
      </c>
      <c r="D85" s="1049" t="s">
        <v>1542</v>
      </c>
      <c r="E85" s="1120">
        <v>0.5</v>
      </c>
      <c r="F85" s="1135">
        <v>80</v>
      </c>
    </row>
    <row r="86" spans="1:6" s="1086" customFormat="1" ht="36">
      <c r="A86" s="1135">
        <v>26</v>
      </c>
      <c r="B86" s="3728"/>
      <c r="C86" s="1049" t="s">
        <v>1543</v>
      </c>
      <c r="D86" s="1049" t="s">
        <v>1544</v>
      </c>
      <c r="E86" s="1120">
        <v>0.2</v>
      </c>
      <c r="F86" s="1135">
        <v>30</v>
      </c>
    </row>
    <row r="87" spans="1:6" s="1086" customFormat="1" ht="36">
      <c r="A87" s="1135">
        <v>27</v>
      </c>
      <c r="B87" s="3728"/>
      <c r="C87" s="1049" t="s">
        <v>1545</v>
      </c>
      <c r="D87" s="1049" t="s">
        <v>1546</v>
      </c>
      <c r="E87" s="1120">
        <v>0.2</v>
      </c>
      <c r="F87" s="1135">
        <v>30</v>
      </c>
    </row>
    <row r="88" spans="1:6" s="1086" customFormat="1" ht="36">
      <c r="A88" s="1135">
        <v>28</v>
      </c>
      <c r="B88" s="3728"/>
      <c r="C88" s="1049" t="s">
        <v>1547</v>
      </c>
      <c r="D88" s="1049" t="s">
        <v>1548</v>
      </c>
      <c r="E88" s="1120">
        <v>0.2</v>
      </c>
      <c r="F88" s="1135">
        <v>30</v>
      </c>
    </row>
    <row r="89" spans="1:6" s="1086" customFormat="1" ht="24">
      <c r="A89" s="1135">
        <v>29</v>
      </c>
      <c r="B89" s="3728"/>
      <c r="C89" s="1049" t="s">
        <v>1549</v>
      </c>
      <c r="D89" s="1049" t="s">
        <v>1550</v>
      </c>
      <c r="E89" s="1120">
        <v>0.2</v>
      </c>
      <c r="F89" s="1135">
        <v>30</v>
      </c>
    </row>
    <row r="90" spans="1:6" s="1086" customFormat="1" ht="24">
      <c r="A90" s="1135">
        <v>30</v>
      </c>
      <c r="B90" s="3728"/>
      <c r="C90" s="1049" t="s">
        <v>1551</v>
      </c>
      <c r="D90" s="1049" t="s">
        <v>1552</v>
      </c>
      <c r="E90" s="1120">
        <v>0.2</v>
      </c>
      <c r="F90" s="1135">
        <v>30</v>
      </c>
    </row>
    <row r="91" spans="1:6" s="1086" customFormat="1" ht="36">
      <c r="A91" s="1135">
        <v>31</v>
      </c>
      <c r="B91" s="3728"/>
      <c r="C91" s="1049" t="s">
        <v>1553</v>
      </c>
      <c r="D91" s="1049" t="s">
        <v>1554</v>
      </c>
      <c r="E91" s="1120">
        <v>0.2</v>
      </c>
      <c r="F91" s="1135">
        <v>30</v>
      </c>
    </row>
    <row r="92" spans="1:6" s="1086" customFormat="1" ht="24">
      <c r="A92" s="1135">
        <v>32</v>
      </c>
      <c r="B92" s="3728" t="s">
        <v>1555</v>
      </c>
      <c r="C92" s="1135" t="s">
        <v>1556</v>
      </c>
      <c r="D92" s="1049" t="s">
        <v>1557</v>
      </c>
      <c r="E92" s="1120">
        <v>0.2</v>
      </c>
      <c r="F92" s="1135">
        <v>30</v>
      </c>
    </row>
    <row r="93" spans="1:6" s="1086" customFormat="1" ht="36">
      <c r="A93" s="1135">
        <v>33</v>
      </c>
      <c r="B93" s="3728"/>
      <c r="C93" s="1135" t="s">
        <v>1558</v>
      </c>
      <c r="D93" s="1049" t="s">
        <v>1559</v>
      </c>
      <c r="E93" s="1120">
        <v>0.2</v>
      </c>
      <c r="F93" s="1135">
        <v>30</v>
      </c>
    </row>
    <row r="94" spans="1:6" s="1086" customFormat="1" ht="48">
      <c r="A94" s="1135">
        <v>34</v>
      </c>
      <c r="B94" s="3728"/>
      <c r="C94" s="1135" t="s">
        <v>1560</v>
      </c>
      <c r="D94" s="1049" t="s">
        <v>1561</v>
      </c>
      <c r="E94" s="1120">
        <v>0.2</v>
      </c>
      <c r="F94" s="1135">
        <v>30</v>
      </c>
    </row>
    <row r="95" spans="1:6" s="1086" customFormat="1" ht="36">
      <c r="A95" s="1135">
        <v>35</v>
      </c>
      <c r="B95" s="3728"/>
      <c r="C95" s="1135" t="s">
        <v>1562</v>
      </c>
      <c r="D95" s="1049" t="s">
        <v>1563</v>
      </c>
      <c r="E95" s="1120">
        <v>0.2</v>
      </c>
      <c r="F95" s="1135">
        <v>30</v>
      </c>
    </row>
    <row r="96" spans="1:6" s="1086" customFormat="1" ht="48">
      <c r="A96" s="1135">
        <v>36</v>
      </c>
      <c r="B96" s="3728"/>
      <c r="C96" s="1049" t="s">
        <v>1564</v>
      </c>
      <c r="D96" s="1049" t="s">
        <v>1565</v>
      </c>
      <c r="E96" s="1120">
        <v>0.2</v>
      </c>
      <c r="F96" s="1135">
        <v>30</v>
      </c>
    </row>
    <row r="97" spans="1:6" s="1086" customFormat="1" ht="36">
      <c r="A97" s="1135">
        <v>37</v>
      </c>
      <c r="B97" s="3728"/>
      <c r="C97" s="1135" t="s">
        <v>1566</v>
      </c>
      <c r="D97" s="1049" t="s">
        <v>1567</v>
      </c>
      <c r="E97" s="1120">
        <v>0.2</v>
      </c>
      <c r="F97" s="1135">
        <v>30</v>
      </c>
    </row>
    <row r="98" spans="1:6" s="1086" customFormat="1" ht="36">
      <c r="A98" s="1135">
        <v>38</v>
      </c>
      <c r="B98" s="3728"/>
      <c r="C98" s="1135" t="s">
        <v>1568</v>
      </c>
      <c r="D98" s="1049" t="s">
        <v>1569</v>
      </c>
      <c r="E98" s="1120">
        <v>0.2</v>
      </c>
      <c r="F98" s="1135">
        <v>30</v>
      </c>
    </row>
    <row r="99" spans="1:6" s="1086" customFormat="1" ht="36">
      <c r="A99" s="1135">
        <v>39</v>
      </c>
      <c r="B99" s="3728" t="s">
        <v>1570</v>
      </c>
      <c r="C99" s="1135" t="s">
        <v>1571</v>
      </c>
      <c r="D99" s="1049" t="s">
        <v>1572</v>
      </c>
      <c r="E99" s="1120">
        <v>0.3</v>
      </c>
      <c r="F99" s="1135">
        <v>50</v>
      </c>
    </row>
    <row r="100" spans="1:6" s="1086" customFormat="1" ht="24">
      <c r="A100" s="1135">
        <v>40</v>
      </c>
      <c r="B100" s="3728"/>
      <c r="C100" s="1135" t="s">
        <v>1573</v>
      </c>
      <c r="D100" s="1049" t="s">
        <v>1574</v>
      </c>
      <c r="E100" s="1120">
        <v>0.2</v>
      </c>
      <c r="F100" s="1135">
        <v>30</v>
      </c>
    </row>
    <row r="101" spans="1:6" s="1086" customFormat="1" ht="36">
      <c r="A101" s="1135">
        <v>41</v>
      </c>
      <c r="B101" s="3728"/>
      <c r="C101" s="1135" t="s">
        <v>1575</v>
      </c>
      <c r="D101" s="1049" t="s">
        <v>1572</v>
      </c>
      <c r="E101" s="1120">
        <v>0.2</v>
      </c>
      <c r="F101" s="1135">
        <v>30</v>
      </c>
    </row>
    <row r="102" spans="1:6" s="1086" customFormat="1" ht="48">
      <c r="A102" s="1135">
        <v>42</v>
      </c>
      <c r="B102" s="1135" t="s">
        <v>1576</v>
      </c>
      <c r="C102" s="1049" t="s">
        <v>1577</v>
      </c>
      <c r="D102" s="1049" t="s">
        <v>1578</v>
      </c>
      <c r="E102" s="1120">
        <v>0.2</v>
      </c>
      <c r="F102" s="1135">
        <v>30</v>
      </c>
    </row>
    <row r="103" spans="1:6" s="1086" customFormat="1" ht="24">
      <c r="A103" s="1135">
        <v>43</v>
      </c>
      <c r="B103" s="1135" t="s">
        <v>1579</v>
      </c>
      <c r="C103" s="1135" t="s">
        <v>1580</v>
      </c>
      <c r="D103" s="1049" t="s">
        <v>1581</v>
      </c>
      <c r="E103" s="1120">
        <v>0.2</v>
      </c>
      <c r="F103" s="1135">
        <v>30</v>
      </c>
    </row>
    <row r="104" spans="1:6" s="1086" customFormat="1" ht="36">
      <c r="A104" s="1135">
        <v>44</v>
      </c>
      <c r="B104" s="1135" t="s">
        <v>1582</v>
      </c>
      <c r="C104" s="1135" t="s">
        <v>1583</v>
      </c>
      <c r="D104" s="1049" t="s">
        <v>1584</v>
      </c>
      <c r="E104" s="1120">
        <v>0.2</v>
      </c>
      <c r="F104" s="1135">
        <v>30</v>
      </c>
    </row>
    <row r="105" spans="1:6" s="1086" customFormat="1" ht="36">
      <c r="A105" s="1135">
        <v>45</v>
      </c>
      <c r="B105" s="3728" t="s">
        <v>1585</v>
      </c>
      <c r="C105" s="1135" t="s">
        <v>1586</v>
      </c>
      <c r="D105" s="1049" t="s">
        <v>1587</v>
      </c>
      <c r="E105" s="1120">
        <v>0.2</v>
      </c>
      <c r="F105" s="1135">
        <v>30</v>
      </c>
    </row>
    <row r="106" spans="1:6" s="1086" customFormat="1" ht="36">
      <c r="A106" s="1135">
        <v>46</v>
      </c>
      <c r="B106" s="3728"/>
      <c r="C106" s="1135" t="s">
        <v>1588</v>
      </c>
      <c r="D106" s="1049" t="s">
        <v>1589</v>
      </c>
      <c r="E106" s="1120">
        <v>0.2</v>
      </c>
      <c r="F106" s="1135">
        <v>30</v>
      </c>
    </row>
    <row r="107" spans="1:6" s="1086" customFormat="1" ht="36">
      <c r="A107" s="1135">
        <v>47</v>
      </c>
      <c r="B107" s="3728" t="s">
        <v>1590</v>
      </c>
      <c r="C107" s="1135" t="s">
        <v>1591</v>
      </c>
      <c r="D107" s="1049" t="s">
        <v>1592</v>
      </c>
      <c r="E107" s="1120">
        <v>0.3</v>
      </c>
      <c r="F107" s="1135">
        <v>50</v>
      </c>
    </row>
    <row r="108" spans="1:6" s="1086" customFormat="1" ht="36">
      <c r="A108" s="1135">
        <v>48</v>
      </c>
      <c r="B108" s="3728"/>
      <c r="C108" s="1135" t="s">
        <v>1593</v>
      </c>
      <c r="D108" s="1049" t="s">
        <v>1594</v>
      </c>
      <c r="E108" s="1120">
        <v>0.2</v>
      </c>
      <c r="F108" s="1135">
        <v>30</v>
      </c>
    </row>
    <row r="109" spans="1:6" s="1086" customFormat="1" ht="36">
      <c r="A109" s="1135">
        <v>49</v>
      </c>
      <c r="B109" s="1135" t="s">
        <v>1595</v>
      </c>
      <c r="C109" s="1135" t="s">
        <v>1596</v>
      </c>
      <c r="D109" s="1049" t="s">
        <v>1597</v>
      </c>
      <c r="E109" s="1120">
        <v>0.2</v>
      </c>
      <c r="F109" s="1135">
        <v>30</v>
      </c>
    </row>
    <row r="110" spans="1:6" s="1086" customFormat="1" ht="36">
      <c r="A110" s="1135">
        <v>50</v>
      </c>
      <c r="B110" s="1135" t="s">
        <v>1598</v>
      </c>
      <c r="C110" s="1135" t="s">
        <v>1599</v>
      </c>
      <c r="D110" s="1049" t="s">
        <v>1600</v>
      </c>
      <c r="E110" s="1120">
        <v>0.2</v>
      </c>
      <c r="F110" s="1135">
        <v>30</v>
      </c>
    </row>
    <row r="111" spans="1:6" s="1086" customFormat="1" ht="36">
      <c r="A111" s="1135">
        <v>51</v>
      </c>
      <c r="B111" s="3728" t="s">
        <v>1601</v>
      </c>
      <c r="C111" s="1135" t="s">
        <v>1602</v>
      </c>
      <c r="D111" s="1049" t="s">
        <v>1603</v>
      </c>
      <c r="E111" s="1120">
        <v>0.2</v>
      </c>
      <c r="F111" s="1135">
        <v>30</v>
      </c>
    </row>
    <row r="112" spans="1:6" s="1086" customFormat="1" ht="24">
      <c r="A112" s="1135">
        <v>52</v>
      </c>
      <c r="B112" s="3728"/>
      <c r="C112" s="1135" t="s">
        <v>1604</v>
      </c>
      <c r="D112" s="1049" t="s">
        <v>1605</v>
      </c>
      <c r="E112" s="1120">
        <v>0.2</v>
      </c>
      <c r="F112" s="1135">
        <v>30</v>
      </c>
    </row>
    <row r="113" spans="1:14" s="1086" customFormat="1" ht="24">
      <c r="A113" s="1135">
        <v>53</v>
      </c>
      <c r="B113" s="3728"/>
      <c r="C113" s="1135" t="s">
        <v>1606</v>
      </c>
      <c r="D113" s="1049" t="s">
        <v>1607</v>
      </c>
      <c r="E113" s="1120">
        <v>0.2</v>
      </c>
      <c r="F113" s="1135">
        <v>30</v>
      </c>
    </row>
    <row r="114" spans="1:14" ht="36">
      <c r="A114" s="1135">
        <v>54</v>
      </c>
      <c r="B114" s="1135" t="s">
        <v>1608</v>
      </c>
      <c r="C114" s="1135" t="s">
        <v>1609</v>
      </c>
      <c r="D114" s="1049" t="s">
        <v>1610</v>
      </c>
      <c r="E114" s="1120">
        <v>0.2</v>
      </c>
      <c r="F114" s="1135">
        <v>30</v>
      </c>
    </row>
    <row r="115" spans="1:14" ht="24">
      <c r="A115" s="1135">
        <v>55</v>
      </c>
      <c r="B115" s="1135" t="s">
        <v>1611</v>
      </c>
      <c r="C115" s="1135" t="s">
        <v>1612</v>
      </c>
      <c r="D115" s="1049" t="s">
        <v>1613</v>
      </c>
      <c r="E115" s="1120">
        <v>0.2</v>
      </c>
      <c r="F115" s="1135">
        <v>30</v>
      </c>
    </row>
    <row r="116" spans="1:14" ht="24">
      <c r="A116" s="1135">
        <v>56</v>
      </c>
      <c r="B116" s="3728" t="s">
        <v>1614</v>
      </c>
      <c r="C116" s="1135" t="s">
        <v>1615</v>
      </c>
      <c r="D116" s="1049" t="s">
        <v>1616</v>
      </c>
      <c r="E116" s="1120">
        <v>0.2</v>
      </c>
      <c r="F116" s="1135">
        <v>30</v>
      </c>
    </row>
    <row r="117" spans="1:14" ht="36">
      <c r="A117" s="1135">
        <v>57</v>
      </c>
      <c r="B117" s="3728"/>
      <c r="C117" s="1135" t="s">
        <v>1617</v>
      </c>
      <c r="D117" s="1049" t="s">
        <v>1618</v>
      </c>
      <c r="E117" s="1120">
        <v>0.2</v>
      </c>
      <c r="F117" s="1135">
        <v>30</v>
      </c>
    </row>
    <row r="118" spans="1:14" ht="36">
      <c r="A118" s="1135">
        <v>58</v>
      </c>
      <c r="B118" s="1135" t="s">
        <v>1619</v>
      </c>
      <c r="C118" s="1135" t="s">
        <v>1620</v>
      </c>
      <c r="D118" s="1049" t="s">
        <v>1621</v>
      </c>
      <c r="E118" s="1120">
        <v>0.2</v>
      </c>
      <c r="F118" s="1135">
        <v>30</v>
      </c>
    </row>
    <row r="119" spans="1:14" ht="13.5">
      <c r="A119" s="1135"/>
      <c r="B119" s="1135"/>
      <c r="C119" s="1135"/>
      <c r="D119" s="1135"/>
      <c r="E119" s="1120"/>
      <c r="F119" s="1135"/>
    </row>
    <row r="121" spans="1:14" ht="19.5" customHeight="1">
      <c r="A121" s="3727" t="s">
        <v>1623</v>
      </c>
      <c r="B121" s="3727"/>
      <c r="C121" s="3727"/>
      <c r="D121" s="3727"/>
      <c r="E121" s="3727"/>
      <c r="F121" s="3727"/>
      <c r="G121" s="3727"/>
      <c r="H121" s="3727"/>
      <c r="I121" s="3727"/>
      <c r="J121" s="372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729" t="s">
        <v>1029</v>
      </c>
      <c r="B1" s="3729"/>
      <c r="C1" s="3729"/>
      <c r="D1" s="3729"/>
      <c r="E1" s="3729"/>
      <c r="F1" s="3729"/>
      <c r="H1" s="1051"/>
      <c r="I1" s="1052" t="s">
        <v>1030</v>
      </c>
      <c r="J1" s="1053" t="s">
        <v>1031</v>
      </c>
      <c r="K1" s="1053" t="s">
        <v>1032</v>
      </c>
      <c r="L1" s="1053" t="s">
        <v>1033</v>
      </c>
      <c r="M1" s="1053" t="s">
        <v>1034</v>
      </c>
      <c r="N1" s="1053" t="s">
        <v>1035</v>
      </c>
      <c r="O1" s="1053" t="s">
        <v>1036</v>
      </c>
      <c r="P1" s="1053" t="s">
        <v>1037</v>
      </c>
      <c r="Q1" s="1053" t="s">
        <v>1038</v>
      </c>
      <c r="R1" s="1053" t="s">
        <v>1039</v>
      </c>
      <c r="S1" s="1053" t="s">
        <v>1040</v>
      </c>
      <c r="T1" s="1054" t="s">
        <v>1041</v>
      </c>
    </row>
    <row r="2" spans="1:20" ht="14.25" thickBot="1">
      <c r="A2" s="3730" t="s">
        <v>1042</v>
      </c>
      <c r="B2" s="3730"/>
      <c r="C2" s="3730"/>
      <c r="D2" s="3730"/>
      <c r="E2" s="3730"/>
      <c r="F2" s="3730"/>
      <c r="I2" s="1055" t="s">
        <v>1043</v>
      </c>
      <c r="J2" s="1056" t="s">
        <v>1044</v>
      </c>
      <c r="K2" s="1056" t="s">
        <v>1045</v>
      </c>
      <c r="L2" s="1056" t="s">
        <v>1046</v>
      </c>
      <c r="M2" s="1056" t="s">
        <v>1047</v>
      </c>
      <c r="N2" s="1056" t="s">
        <v>1048</v>
      </c>
      <c r="O2" s="1056" t="s">
        <v>1049</v>
      </c>
      <c r="P2" s="1056" t="s">
        <v>1050</v>
      </c>
      <c r="Q2" s="1056" t="s">
        <v>1051</v>
      </c>
      <c r="R2" s="1056" t="s">
        <v>1052</v>
      </c>
      <c r="S2" s="1056" t="s">
        <v>1053</v>
      </c>
      <c r="T2" s="1056" t="s">
        <v>1054</v>
      </c>
    </row>
    <row r="3" spans="1:20" s="1051" customFormat="1" ht="19.5" customHeight="1">
      <c r="A3" s="3731" t="s">
        <v>1055</v>
      </c>
      <c r="B3" s="1057"/>
      <c r="C3" s="1058" t="s">
        <v>1056</v>
      </c>
      <c r="D3" s="1058" t="s">
        <v>1057</v>
      </c>
      <c r="E3" s="1058" t="s">
        <v>1058</v>
      </c>
      <c r="F3" s="1058" t="s">
        <v>1059</v>
      </c>
      <c r="G3" s="1059"/>
      <c r="I3" s="1055" t="s">
        <v>1060</v>
      </c>
      <c r="J3" s="1056" t="s">
        <v>1061</v>
      </c>
      <c r="K3" s="1056" t="s">
        <v>1062</v>
      </c>
      <c r="L3" s="1056" t="s">
        <v>1063</v>
      </c>
      <c r="M3" s="1056" t="s">
        <v>1064</v>
      </c>
      <c r="N3" s="1056" t="s">
        <v>1065</v>
      </c>
      <c r="O3" s="1056" t="s">
        <v>1066</v>
      </c>
      <c r="P3" s="1056" t="s">
        <v>1067</v>
      </c>
      <c r="Q3" s="1056" t="s">
        <v>1068</v>
      </c>
      <c r="R3" s="1056" t="s">
        <v>1069</v>
      </c>
      <c r="S3" s="1056" t="s">
        <v>1070</v>
      </c>
      <c r="T3" s="1056" t="s">
        <v>1071</v>
      </c>
    </row>
    <row r="4" spans="1:20" s="1051" customFormat="1" ht="19.5" customHeight="1" thickBot="1">
      <c r="A4" s="3732"/>
      <c r="B4" s="1060" t="s">
        <v>1072</v>
      </c>
      <c r="C4" s="1060" t="s">
        <v>1073</v>
      </c>
      <c r="D4" s="1060" t="s">
        <v>1073</v>
      </c>
      <c r="E4" s="1060" t="s">
        <v>1073</v>
      </c>
      <c r="F4" s="1061" t="s">
        <v>1073</v>
      </c>
      <c r="G4" s="1059"/>
      <c r="I4" s="1055" t="s">
        <v>1074</v>
      </c>
      <c r="J4" s="1056" t="s">
        <v>1075</v>
      </c>
      <c r="K4" s="1056" t="s">
        <v>1076</v>
      </c>
      <c r="L4" s="1056" t="s">
        <v>1077</v>
      </c>
      <c r="M4" s="1056" t="s">
        <v>1078</v>
      </c>
      <c r="N4" s="1056" t="s">
        <v>1079</v>
      </c>
      <c r="O4" s="1056" t="s">
        <v>1080</v>
      </c>
      <c r="P4" s="1056" t="s">
        <v>1081</v>
      </c>
      <c r="Q4" s="1056" t="s">
        <v>1082</v>
      </c>
      <c r="R4" s="1056" t="s">
        <v>1083</v>
      </c>
      <c r="S4" s="1056" t="s">
        <v>1084</v>
      </c>
      <c r="T4" s="1056" t="s">
        <v>1085</v>
      </c>
    </row>
    <row r="5" spans="1:20" ht="14.25" customHeight="1" thickBot="1">
      <c r="A5" s="1062" t="s">
        <v>1086</v>
      </c>
      <c r="B5" s="1063" t="s">
        <v>1043</v>
      </c>
      <c r="C5" s="1063">
        <v>29530</v>
      </c>
      <c r="D5" s="1063">
        <v>28130</v>
      </c>
      <c r="E5" s="1063">
        <v>27930</v>
      </c>
      <c r="F5" s="1064">
        <v>11300</v>
      </c>
      <c r="G5" s="1065" t="s">
        <v>1030</v>
      </c>
      <c r="H5" s="1066">
        <f>SUMPRODUCT((B5:B9=基准地价!I2)*(C3:F3=基准地价!E2)*(C5:F9))</f>
        <v>0</v>
      </c>
      <c r="I5" s="1055" t="s">
        <v>1087</v>
      </c>
      <c r="J5" s="1056" t="s">
        <v>1088</v>
      </c>
      <c r="K5" s="1056" t="s">
        <v>1089</v>
      </c>
      <c r="L5" s="1056" t="s">
        <v>1090</v>
      </c>
      <c r="M5" s="1056" t="s">
        <v>1091</v>
      </c>
      <c r="N5" s="1056" t="s">
        <v>1092</v>
      </c>
      <c r="O5" s="1056" t="s">
        <v>1093</v>
      </c>
      <c r="P5" s="1056" t="s">
        <v>1094</v>
      </c>
      <c r="Q5" s="1056" t="s">
        <v>1095</v>
      </c>
      <c r="R5" s="1056" t="s">
        <v>1096</v>
      </c>
      <c r="S5" s="1056" t="s">
        <v>1097</v>
      </c>
      <c r="T5" s="1056" t="s">
        <v>1098</v>
      </c>
    </row>
    <row r="6" spans="1:20" ht="14.25" customHeight="1" thickBot="1">
      <c r="A6" s="1062" t="s">
        <v>1086</v>
      </c>
      <c r="B6" s="1056" t="s">
        <v>1099</v>
      </c>
      <c r="C6" s="1056">
        <v>30290</v>
      </c>
      <c r="D6" s="1056">
        <v>29210</v>
      </c>
      <c r="E6" s="1056">
        <v>28860</v>
      </c>
      <c r="F6" s="1067">
        <v>12600</v>
      </c>
      <c r="G6" s="1068" t="s">
        <v>1100</v>
      </c>
      <c r="H6" s="1069">
        <f>SUMPRODUCT((B10:B28=基准地价!I2)*(C3:F3=基准地价!E2)*(C10:F28))</f>
        <v>0</v>
      </c>
      <c r="I6" s="1055" t="s">
        <v>1101</v>
      </c>
      <c r="J6" s="1056" t="s">
        <v>1102</v>
      </c>
      <c r="K6" s="1056" t="s">
        <v>1103</v>
      </c>
      <c r="L6" s="1056" t="s">
        <v>1104</v>
      </c>
      <c r="M6" s="1056" t="s">
        <v>1105</v>
      </c>
      <c r="N6" s="1056" t="s">
        <v>1106</v>
      </c>
      <c r="O6" s="1056" t="s">
        <v>1107</v>
      </c>
      <c r="P6" s="1056" t="s">
        <v>1108</v>
      </c>
      <c r="Q6" s="1056" t="s">
        <v>1109</v>
      </c>
      <c r="R6" s="1056" t="s">
        <v>1110</v>
      </c>
      <c r="S6" s="1056" t="s">
        <v>1111</v>
      </c>
      <c r="T6" s="1056" t="s">
        <v>1112</v>
      </c>
    </row>
    <row r="7" spans="1:20" ht="14.25" customHeight="1" thickBot="1">
      <c r="A7" s="1062" t="s">
        <v>1086</v>
      </c>
      <c r="B7" s="1070" t="s">
        <v>1074</v>
      </c>
      <c r="C7" s="1056">
        <v>29350</v>
      </c>
      <c r="D7" s="1056">
        <v>28410</v>
      </c>
      <c r="E7" s="1056">
        <v>27990</v>
      </c>
      <c r="F7" s="1067">
        <v>12300</v>
      </c>
      <c r="G7" s="1068" t="s">
        <v>899</v>
      </c>
      <c r="H7" s="1069">
        <f>SUMPRODUCT((B29:B48=基准地价!I2)*(C3:F3=基准地价!E2)*(C29:F48))</f>
        <v>0</v>
      </c>
      <c r="J7" s="1056" t="s">
        <v>1113</v>
      </c>
      <c r="K7" s="1056" t="s">
        <v>1114</v>
      </c>
      <c r="L7" s="1056" t="s">
        <v>1115</v>
      </c>
      <c r="M7" s="1056" t="s">
        <v>1116</v>
      </c>
      <c r="N7" s="1056" t="s">
        <v>1117</v>
      </c>
      <c r="O7" s="1056" t="s">
        <v>1118</v>
      </c>
      <c r="P7" s="1056" t="s">
        <v>1119</v>
      </c>
      <c r="Q7" s="1056" t="s">
        <v>1120</v>
      </c>
      <c r="R7" s="1056" t="s">
        <v>1121</v>
      </c>
      <c r="S7" s="1056" t="s">
        <v>1122</v>
      </c>
      <c r="T7" s="1070" t="s">
        <v>1123</v>
      </c>
    </row>
    <row r="8" spans="1:20" ht="14.25" customHeight="1" thickBot="1">
      <c r="A8" s="1062" t="s">
        <v>1086</v>
      </c>
      <c r="B8" s="1056" t="s">
        <v>1087</v>
      </c>
      <c r="C8" s="1056">
        <v>30890</v>
      </c>
      <c r="D8" s="1056">
        <v>29780</v>
      </c>
      <c r="E8" s="1056">
        <v>29270</v>
      </c>
      <c r="F8" s="1067">
        <v>11600</v>
      </c>
      <c r="G8" s="1068" t="s">
        <v>900</v>
      </c>
      <c r="H8" s="1069">
        <f>SUMPRODUCT((B49:B75=基准地价!I2)*(C3:F3=基准地价!E2)*(C49:F75))</f>
        <v>0</v>
      </c>
      <c r="J8" s="1056" t="s">
        <v>1124</v>
      </c>
      <c r="K8" s="1056" t="s">
        <v>1125</v>
      </c>
      <c r="L8" s="1056" t="s">
        <v>1126</v>
      </c>
      <c r="M8" s="1056" t="s">
        <v>1127</v>
      </c>
      <c r="N8" s="1056" t="s">
        <v>1128</v>
      </c>
      <c r="O8" s="1056" t="s">
        <v>1129</v>
      </c>
      <c r="P8" s="1056" t="s">
        <v>1130</v>
      </c>
      <c r="Q8" s="1056" t="s">
        <v>1131</v>
      </c>
      <c r="R8" s="1056" t="s">
        <v>1132</v>
      </c>
      <c r="S8" s="1056" t="s">
        <v>1133</v>
      </c>
      <c r="T8" s="1056" t="s">
        <v>1134</v>
      </c>
    </row>
    <row r="9" spans="1:20" ht="14.25" customHeight="1" thickBot="1">
      <c r="A9" s="1062" t="s">
        <v>1086</v>
      </c>
      <c r="B9" s="1071" t="s">
        <v>1101</v>
      </c>
      <c r="C9" s="1072">
        <v>28140</v>
      </c>
      <c r="D9" s="1072"/>
      <c r="E9" s="1072"/>
      <c r="F9" s="1073"/>
      <c r="G9" s="1068" t="s">
        <v>901</v>
      </c>
      <c r="H9" s="1069">
        <f>SUMPRODUCT((B76:B109=基准地价!I2)*(C3:F3=基准地价!E2)*(C76:F109))</f>
        <v>0</v>
      </c>
      <c r="J9" s="1056" t="s">
        <v>1135</v>
      </c>
      <c r="K9" s="1056" t="s">
        <v>1136</v>
      </c>
      <c r="L9" s="1056" t="s">
        <v>1137</v>
      </c>
      <c r="M9" s="1056" t="s">
        <v>1138</v>
      </c>
      <c r="N9" s="1056" t="s">
        <v>1139</v>
      </c>
      <c r="O9" s="1056" t="s">
        <v>1140</v>
      </c>
      <c r="P9" s="1056" t="s">
        <v>1141</v>
      </c>
      <c r="Q9" s="1056" t="s">
        <v>1142</v>
      </c>
      <c r="R9" s="1056" t="s">
        <v>1143</v>
      </c>
      <c r="S9" s="1056" t="s">
        <v>1144</v>
      </c>
    </row>
    <row r="10" spans="1:20" ht="14.25" customHeight="1" thickBot="1">
      <c r="A10" s="1062" t="s">
        <v>1145</v>
      </c>
      <c r="B10" s="1063" t="s">
        <v>1146</v>
      </c>
      <c r="C10" s="1063">
        <v>27450</v>
      </c>
      <c r="D10" s="1063">
        <v>26180</v>
      </c>
      <c r="E10" s="1063">
        <v>25980</v>
      </c>
      <c r="F10" s="1064">
        <v>8910</v>
      </c>
      <c r="G10" s="1068" t="s">
        <v>902</v>
      </c>
      <c r="H10" s="1069">
        <f>SUMPRODUCT((B110:B157=基准地价!I2)*(C3:F3=基准地价!E2)*(C110:F157))</f>
        <v>0</v>
      </c>
      <c r="J10" s="1056" t="s">
        <v>1147</v>
      </c>
      <c r="K10" s="1056" t="s">
        <v>1148</v>
      </c>
      <c r="L10" s="1056" t="s">
        <v>1149</v>
      </c>
      <c r="M10" s="1056" t="s">
        <v>1150</v>
      </c>
      <c r="N10" s="1056" t="s">
        <v>1151</v>
      </c>
      <c r="O10" s="1056" t="s">
        <v>1152</v>
      </c>
      <c r="P10" s="1056" t="s">
        <v>1153</v>
      </c>
      <c r="Q10" s="1056" t="s">
        <v>1154</v>
      </c>
      <c r="R10" s="1056" t="s">
        <v>1155</v>
      </c>
      <c r="S10" s="1056" t="s">
        <v>1156</v>
      </c>
    </row>
    <row r="11" spans="1:20" ht="14.25" customHeight="1" thickBot="1">
      <c r="A11" s="1062" t="s">
        <v>1145</v>
      </c>
      <c r="B11" s="1070" t="s">
        <v>1061</v>
      </c>
      <c r="C11" s="1056">
        <v>22950</v>
      </c>
      <c r="D11" s="1056">
        <v>22630</v>
      </c>
      <c r="E11" s="1056">
        <v>22030</v>
      </c>
      <c r="F11" s="1074">
        <v>8330</v>
      </c>
      <c r="G11" s="1068" t="s">
        <v>903</v>
      </c>
      <c r="H11" s="1069">
        <f>SUMPRODUCT((B158:B205=基准地价!I2)*(C3:F3=基准地价!E2)*(C158:F205))</f>
        <v>0</v>
      </c>
      <c r="J11" s="1056" t="s">
        <v>1157</v>
      </c>
      <c r="K11" s="1056" t="s">
        <v>1158</v>
      </c>
      <c r="L11" s="1056" t="s">
        <v>1159</v>
      </c>
      <c r="M11" s="1056" t="s">
        <v>1160</v>
      </c>
      <c r="N11" s="1056" t="s">
        <v>1161</v>
      </c>
      <c r="O11" s="1056" t="s">
        <v>1162</v>
      </c>
      <c r="P11" s="1056" t="s">
        <v>1163</v>
      </c>
      <c r="Q11" s="1056" t="s">
        <v>1164</v>
      </c>
      <c r="R11" s="1056" t="s">
        <v>1165</v>
      </c>
      <c r="S11" s="1056" t="s">
        <v>1166</v>
      </c>
    </row>
    <row r="12" spans="1:20" ht="14.25" customHeight="1" thickBot="1">
      <c r="A12" s="1062" t="s">
        <v>1145</v>
      </c>
      <c r="B12" s="1070" t="s">
        <v>1075</v>
      </c>
      <c r="C12" s="1056">
        <v>24940</v>
      </c>
      <c r="D12" s="1056">
        <v>23180</v>
      </c>
      <c r="E12" s="1056">
        <v>22910</v>
      </c>
      <c r="F12" s="1074">
        <v>7180</v>
      </c>
      <c r="G12" s="1068" t="s">
        <v>904</v>
      </c>
      <c r="H12" s="1069">
        <f>SUMPRODUCT((B206:B244=基准地价!I2)*(C3:F3=基准地价!E2)*(C206:F244))</f>
        <v>0</v>
      </c>
      <c r="J12" s="1056" t="s">
        <v>1167</v>
      </c>
      <c r="K12" s="1056" t="s">
        <v>1168</v>
      </c>
      <c r="L12" s="1056" t="s">
        <v>1169</v>
      </c>
      <c r="M12" s="1056" t="s">
        <v>1170</v>
      </c>
      <c r="N12" s="1056" t="s">
        <v>1171</v>
      </c>
      <c r="O12" s="1056" t="s">
        <v>1172</v>
      </c>
      <c r="P12" s="1056" t="s">
        <v>1173</v>
      </c>
      <c r="Q12" s="1056" t="s">
        <v>1174</v>
      </c>
      <c r="R12" s="1056" t="s">
        <v>1175</v>
      </c>
      <c r="S12" s="1056" t="s">
        <v>1176</v>
      </c>
    </row>
    <row r="13" spans="1:20" ht="14.25" customHeight="1" thickBot="1">
      <c r="A13" s="1062" t="s">
        <v>1145</v>
      </c>
      <c r="B13" s="1070" t="s">
        <v>1088</v>
      </c>
      <c r="C13" s="1056">
        <v>24140</v>
      </c>
      <c r="D13" s="1056">
        <v>22270</v>
      </c>
      <c r="E13" s="1056">
        <v>21950</v>
      </c>
      <c r="F13" s="1074">
        <v>7600</v>
      </c>
      <c r="G13" s="1068" t="s">
        <v>905</v>
      </c>
      <c r="H13" s="1069">
        <f>SUMPRODUCT((B245:B289=基准地价!I2)*(C3:F3=基准地价!E2)*(C245:F289))</f>
        <v>0</v>
      </c>
      <c r="J13" s="1056" t="s">
        <v>1177</v>
      </c>
      <c r="K13" s="1056" t="s">
        <v>1178</v>
      </c>
      <c r="L13" s="1056" t="s">
        <v>1179</v>
      </c>
      <c r="M13" s="1056" t="s">
        <v>1180</v>
      </c>
      <c r="N13" s="1056" t="s">
        <v>1181</v>
      </c>
      <c r="O13" s="1056" t="s">
        <v>1182</v>
      </c>
      <c r="P13" s="1056" t="s">
        <v>1183</v>
      </c>
      <c r="Q13" s="1056" t="s">
        <v>1184</v>
      </c>
      <c r="R13" s="1056" t="s">
        <v>1185</v>
      </c>
      <c r="S13" s="1056" t="s">
        <v>1186</v>
      </c>
    </row>
    <row r="14" spans="1:20" ht="14.25" customHeight="1" thickBot="1">
      <c r="A14" s="1062" t="s">
        <v>1145</v>
      </c>
      <c r="B14" s="1070" t="s">
        <v>1102</v>
      </c>
      <c r="C14" s="1056">
        <v>25600</v>
      </c>
      <c r="D14" s="1056">
        <v>22260</v>
      </c>
      <c r="E14" s="1056">
        <v>22110</v>
      </c>
      <c r="F14" s="1074">
        <v>7630</v>
      </c>
      <c r="G14" s="1068" t="s">
        <v>906</v>
      </c>
      <c r="H14" s="1069">
        <f>SUMPRODUCT((B290:B316=基准地价!I2)*(C3:F3=基准地价!E2)*(C290:F316))</f>
        <v>0</v>
      </c>
      <c r="J14" s="1056" t="s">
        <v>1187</v>
      </c>
      <c r="K14" s="1056" t="s">
        <v>1188</v>
      </c>
      <c r="L14" s="1056" t="s">
        <v>1189</v>
      </c>
      <c r="M14" s="1056" t="s">
        <v>1190</v>
      </c>
      <c r="N14" s="1056" t="s">
        <v>1191</v>
      </c>
      <c r="O14" s="1056" t="s">
        <v>1192</v>
      </c>
      <c r="P14" s="1056" t="s">
        <v>1193</v>
      </c>
      <c r="Q14" s="1056" t="s">
        <v>1194</v>
      </c>
      <c r="R14" s="1056" t="s">
        <v>1195</v>
      </c>
      <c r="S14" s="1056" t="s">
        <v>1196</v>
      </c>
    </row>
    <row r="15" spans="1:20" ht="14.25" customHeight="1" thickBot="1">
      <c r="A15" s="1062" t="s">
        <v>1145</v>
      </c>
      <c r="B15" s="1070" t="s">
        <v>1113</v>
      </c>
      <c r="C15" s="1056">
        <v>24760</v>
      </c>
      <c r="D15" s="1056">
        <v>24440</v>
      </c>
      <c r="E15" s="1056">
        <v>24130</v>
      </c>
      <c r="F15" s="1074">
        <v>9480</v>
      </c>
      <c r="G15" s="1068" t="s">
        <v>907</v>
      </c>
      <c r="H15" s="1069">
        <f>SUMPRODUCT((B317:B337=基准地价!I2)*(C3:F3=基准地价!E2)*(C317:F337))</f>
        <v>0</v>
      </c>
      <c r="J15" s="1056" t="s">
        <v>1197</v>
      </c>
      <c r="K15" s="1056" t="s">
        <v>1198</v>
      </c>
      <c r="L15" s="1056" t="s">
        <v>1199</v>
      </c>
      <c r="M15" s="1056" t="s">
        <v>1200</v>
      </c>
      <c r="N15" s="1056" t="s">
        <v>1201</v>
      </c>
      <c r="O15" s="1056" t="s">
        <v>1202</v>
      </c>
      <c r="P15" s="1056" t="s">
        <v>1203</v>
      </c>
      <c r="Q15" s="1056" t="s">
        <v>1204</v>
      </c>
      <c r="R15" s="1056" t="s">
        <v>1205</v>
      </c>
      <c r="S15" s="1056" t="s">
        <v>1206</v>
      </c>
    </row>
    <row r="16" spans="1:20" ht="14.25" customHeight="1" thickBot="1">
      <c r="A16" s="1062" t="s">
        <v>1145</v>
      </c>
      <c r="B16" s="1070" t="s">
        <v>1124</v>
      </c>
      <c r="C16" s="1056">
        <v>22220</v>
      </c>
      <c r="D16" s="1056">
        <v>22310</v>
      </c>
      <c r="E16" s="1056">
        <v>22000</v>
      </c>
      <c r="F16" s="1074">
        <v>8900</v>
      </c>
      <c r="G16" s="1075" t="s">
        <v>908</v>
      </c>
      <c r="H16" s="1076">
        <f>SUMPRODUCT((B338:B344=基准地价!I2)*(C3:F3=基准地价!E2)*(C338:F344))</f>
        <v>0</v>
      </c>
      <c r="J16" s="1056" t="s">
        <v>1207</v>
      </c>
      <c r="K16" s="1056" t="s">
        <v>1208</v>
      </c>
      <c r="L16" s="1056" t="s">
        <v>1209</v>
      </c>
      <c r="M16" s="1056" t="s">
        <v>1210</v>
      </c>
      <c r="N16" s="1056" t="s">
        <v>1211</v>
      </c>
      <c r="O16" s="1056" t="s">
        <v>1212</v>
      </c>
      <c r="P16" s="1056" t="s">
        <v>1213</v>
      </c>
      <c r="Q16" s="1056" t="s">
        <v>1214</v>
      </c>
      <c r="R16" s="1056" t="s">
        <v>1215</v>
      </c>
      <c r="S16" s="1056" t="s">
        <v>1216</v>
      </c>
    </row>
    <row r="17" spans="1:19" ht="14.25" customHeight="1" thickBot="1">
      <c r="A17" s="1062" t="s">
        <v>1145</v>
      </c>
      <c r="B17" s="1070" t="s">
        <v>1135</v>
      </c>
      <c r="C17" s="1056">
        <v>24700</v>
      </c>
      <c r="D17" s="1056">
        <v>25150</v>
      </c>
      <c r="E17" s="1056">
        <v>24700</v>
      </c>
      <c r="F17" s="1077"/>
      <c r="H17" s="1078"/>
      <c r="J17" s="1056" t="s">
        <v>1217</v>
      </c>
      <c r="K17" s="1056" t="s">
        <v>1218</v>
      </c>
      <c r="L17" s="1056" t="s">
        <v>1219</v>
      </c>
      <c r="M17" s="1056" t="s">
        <v>1220</v>
      </c>
      <c r="N17" s="1056" t="s">
        <v>1221</v>
      </c>
      <c r="O17" s="1056" t="s">
        <v>1222</v>
      </c>
      <c r="P17" s="1056" t="s">
        <v>1223</v>
      </c>
      <c r="Q17" s="1056" t="s">
        <v>1224</v>
      </c>
      <c r="R17" s="1056" t="s">
        <v>1225</v>
      </c>
      <c r="S17" s="1056" t="s">
        <v>1226</v>
      </c>
    </row>
    <row r="18" spans="1:19" ht="14.25" customHeight="1" thickBot="1">
      <c r="A18" s="1062" t="s">
        <v>1145</v>
      </c>
      <c r="B18" s="1070" t="s">
        <v>1147</v>
      </c>
      <c r="C18" s="1056">
        <v>22350</v>
      </c>
      <c r="D18" s="1056">
        <v>24340</v>
      </c>
      <c r="E18" s="1056">
        <v>24100</v>
      </c>
      <c r="F18" s="1077"/>
      <c r="H18" s="1078"/>
      <c r="J18" s="1056" t="s">
        <v>1227</v>
      </c>
      <c r="K18" s="1056" t="s">
        <v>1228</v>
      </c>
      <c r="L18" s="1056" t="s">
        <v>1229</v>
      </c>
      <c r="M18" s="1056" t="s">
        <v>1230</v>
      </c>
      <c r="N18" s="1056" t="s">
        <v>1231</v>
      </c>
      <c r="O18" s="1056" t="s">
        <v>1232</v>
      </c>
      <c r="P18" s="1056" t="s">
        <v>1233</v>
      </c>
      <c r="Q18" s="1056" t="s">
        <v>1234</v>
      </c>
      <c r="R18" s="1056" t="s">
        <v>1235</v>
      </c>
      <c r="S18" s="1056" t="s">
        <v>1236</v>
      </c>
    </row>
    <row r="19" spans="1:19" ht="14.25" customHeight="1" thickBot="1">
      <c r="A19" s="1062" t="s">
        <v>1145</v>
      </c>
      <c r="B19" s="1070" t="s">
        <v>1157</v>
      </c>
      <c r="C19" s="1056">
        <v>23430</v>
      </c>
      <c r="D19" s="1056">
        <v>21580</v>
      </c>
      <c r="E19" s="1056">
        <v>21350</v>
      </c>
      <c r="F19" s="1077"/>
      <c r="H19" s="1078"/>
      <c r="J19" s="1056" t="s">
        <v>1237</v>
      </c>
      <c r="K19" s="1056" t="s">
        <v>1238</v>
      </c>
      <c r="L19" s="1056" t="s">
        <v>1239</v>
      </c>
      <c r="M19" s="1056" t="s">
        <v>1240</v>
      </c>
      <c r="N19" s="1056" t="s">
        <v>1241</v>
      </c>
      <c r="O19" s="1056" t="s">
        <v>1242</v>
      </c>
      <c r="P19" s="1056" t="s">
        <v>1243</v>
      </c>
      <c r="Q19" s="1056" t="s">
        <v>1244</v>
      </c>
      <c r="R19" s="1056" t="s">
        <v>1245</v>
      </c>
      <c r="S19" s="1056" t="s">
        <v>1246</v>
      </c>
    </row>
    <row r="20" spans="1:19" ht="14.25" customHeight="1" thickBot="1">
      <c r="A20" s="1062" t="s">
        <v>1145</v>
      </c>
      <c r="B20" s="1070" t="s">
        <v>1167</v>
      </c>
      <c r="C20" s="1056">
        <v>27660</v>
      </c>
      <c r="D20" s="1056">
        <v>24240</v>
      </c>
      <c r="E20" s="1056">
        <v>24020</v>
      </c>
      <c r="F20" s="1077"/>
      <c r="J20" s="1056" t="s">
        <v>1247</v>
      </c>
      <c r="K20" s="1056" t="s">
        <v>1248</v>
      </c>
      <c r="L20" s="1056" t="s">
        <v>1249</v>
      </c>
      <c r="M20" s="1056" t="s">
        <v>1250</v>
      </c>
      <c r="N20" s="1056" t="s">
        <v>1251</v>
      </c>
      <c r="O20" s="1056" t="s">
        <v>1252</v>
      </c>
      <c r="P20" s="1056" t="s">
        <v>1253</v>
      </c>
      <c r="Q20" s="1056" t="s">
        <v>1254</v>
      </c>
      <c r="R20" s="1056" t="s">
        <v>1255</v>
      </c>
      <c r="S20" s="1056" t="s">
        <v>1256</v>
      </c>
    </row>
    <row r="21" spans="1:19" ht="14.25" customHeight="1" thickBot="1">
      <c r="A21" s="1062" t="s">
        <v>1145</v>
      </c>
      <c r="B21" s="1070" t="s">
        <v>1177</v>
      </c>
      <c r="C21" s="1056">
        <v>24720</v>
      </c>
      <c r="D21" s="1056">
        <v>21670</v>
      </c>
      <c r="E21" s="1056">
        <v>21510</v>
      </c>
      <c r="F21" s="1077"/>
      <c r="K21" s="1056" t="s">
        <v>1257</v>
      </c>
      <c r="L21" s="1056" t="s">
        <v>1258</v>
      </c>
      <c r="M21" s="1056" t="s">
        <v>1259</v>
      </c>
      <c r="N21" s="1056" t="s">
        <v>1260</v>
      </c>
      <c r="O21" s="1056" t="s">
        <v>1261</v>
      </c>
      <c r="P21" s="1056" t="s">
        <v>1262</v>
      </c>
      <c r="Q21" s="1056" t="s">
        <v>1263</v>
      </c>
      <c r="R21" s="1056" t="s">
        <v>1264</v>
      </c>
      <c r="S21" s="1056" t="s">
        <v>1265</v>
      </c>
    </row>
    <row r="22" spans="1:19" ht="14.25" customHeight="1" thickBot="1">
      <c r="A22" s="1062" t="s">
        <v>1145</v>
      </c>
      <c r="B22" s="1070" t="s">
        <v>1266</v>
      </c>
      <c r="C22" s="1056">
        <v>26530</v>
      </c>
      <c r="D22" s="1056">
        <v>22980</v>
      </c>
      <c r="E22" s="1056">
        <v>22650</v>
      </c>
      <c r="F22" s="1077"/>
      <c r="L22" s="1056" t="s">
        <v>1267</v>
      </c>
      <c r="M22" s="1056" t="s">
        <v>1268</v>
      </c>
      <c r="N22" s="1056" t="s">
        <v>1269</v>
      </c>
      <c r="O22" s="1056" t="s">
        <v>1270</v>
      </c>
      <c r="P22" s="1056" t="s">
        <v>1271</v>
      </c>
      <c r="Q22" s="1056" t="s">
        <v>1272</v>
      </c>
      <c r="R22" s="1056" t="s">
        <v>1273</v>
      </c>
      <c r="S22" s="1070" t="s">
        <v>1274</v>
      </c>
    </row>
    <row r="23" spans="1:19" ht="14.25" customHeight="1" thickBot="1">
      <c r="A23" s="1062" t="s">
        <v>1145</v>
      </c>
      <c r="B23" s="1070" t="s">
        <v>1197</v>
      </c>
      <c r="C23" s="1056">
        <v>24700</v>
      </c>
      <c r="D23" s="1056">
        <v>27290</v>
      </c>
      <c r="E23" s="1056">
        <v>26710</v>
      </c>
      <c r="F23" s="1077"/>
      <c r="L23" s="1056" t="s">
        <v>1275</v>
      </c>
      <c r="M23" s="1056" t="s">
        <v>1276</v>
      </c>
      <c r="N23" s="1056" t="s">
        <v>1277</v>
      </c>
      <c r="O23" s="1056" t="s">
        <v>1278</v>
      </c>
      <c r="P23" s="1056" t="s">
        <v>1279</v>
      </c>
      <c r="Q23" s="1056" t="s">
        <v>1280</v>
      </c>
      <c r="R23" s="1056" t="s">
        <v>1281</v>
      </c>
    </row>
    <row r="24" spans="1:19" ht="14.25" customHeight="1" thickBot="1">
      <c r="A24" s="1062" t="s">
        <v>1145</v>
      </c>
      <c r="B24" s="1070" t="s">
        <v>1207</v>
      </c>
      <c r="C24" s="1056">
        <v>23070</v>
      </c>
      <c r="D24" s="1056">
        <v>24130</v>
      </c>
      <c r="E24" s="1056">
        <v>23860</v>
      </c>
      <c r="F24" s="1077"/>
      <c r="L24" s="1056" t="s">
        <v>1282</v>
      </c>
      <c r="M24" s="1056" t="s">
        <v>1283</v>
      </c>
      <c r="N24" s="1056" t="s">
        <v>1284</v>
      </c>
      <c r="O24" s="1056" t="s">
        <v>1285</v>
      </c>
      <c r="P24" s="1056" t="s">
        <v>1286</v>
      </c>
      <c r="Q24" s="1056" t="s">
        <v>1287</v>
      </c>
      <c r="R24" s="1056" t="s">
        <v>1288</v>
      </c>
    </row>
    <row r="25" spans="1:19" ht="14.25" customHeight="1" thickBot="1">
      <c r="A25" s="1062" t="s">
        <v>1145</v>
      </c>
      <c r="B25" s="1070" t="s">
        <v>1217</v>
      </c>
      <c r="C25" s="1056">
        <v>27550</v>
      </c>
      <c r="D25" s="1056">
        <v>25850</v>
      </c>
      <c r="E25" s="1056">
        <v>25340</v>
      </c>
      <c r="F25" s="1077"/>
      <c r="L25" s="1056" t="s">
        <v>1289</v>
      </c>
      <c r="M25" s="1056" t="s">
        <v>1290</v>
      </c>
      <c r="N25" s="1056" t="s">
        <v>1291</v>
      </c>
      <c r="O25" s="1056" t="s">
        <v>1292</v>
      </c>
      <c r="P25" s="1056" t="s">
        <v>1293</v>
      </c>
      <c r="Q25" s="1056" t="s">
        <v>1294</v>
      </c>
      <c r="R25" s="1056" t="s">
        <v>1295</v>
      </c>
    </row>
    <row r="26" spans="1:19" ht="14.25" customHeight="1" thickBot="1">
      <c r="A26" s="1062" t="s">
        <v>1145</v>
      </c>
      <c r="B26" s="1070" t="s">
        <v>1227</v>
      </c>
      <c r="C26" s="1056"/>
      <c r="D26" s="1056">
        <v>23900</v>
      </c>
      <c r="E26" s="1056">
        <v>23590</v>
      </c>
      <c r="F26" s="1077"/>
      <c r="L26" s="1056" t="s">
        <v>1296</v>
      </c>
      <c r="M26" s="1056" t="s">
        <v>1297</v>
      </c>
      <c r="N26" s="1056" t="s">
        <v>1298</v>
      </c>
      <c r="O26" s="1056" t="s">
        <v>1299</v>
      </c>
      <c r="P26" s="1056" t="s">
        <v>1300</v>
      </c>
      <c r="Q26" s="1056" t="s">
        <v>1301</v>
      </c>
      <c r="R26" s="1056" t="s">
        <v>1302</v>
      </c>
    </row>
    <row r="27" spans="1:19" ht="14.25" customHeight="1" thickBot="1">
      <c r="A27" s="1062" t="s">
        <v>1145</v>
      </c>
      <c r="B27" s="1070" t="s">
        <v>1237</v>
      </c>
      <c r="C27" s="1056"/>
      <c r="D27" s="1056">
        <v>22850</v>
      </c>
      <c r="E27" s="1056">
        <v>21920</v>
      </c>
      <c r="F27" s="1077"/>
      <c r="L27" s="1056" t="s">
        <v>1303</v>
      </c>
      <c r="M27" s="1056" t="s">
        <v>1304</v>
      </c>
      <c r="N27" s="1056" t="s">
        <v>1305</v>
      </c>
      <c r="O27" s="1056" t="s">
        <v>1306</v>
      </c>
      <c r="P27" s="1056" t="s">
        <v>1307</v>
      </c>
      <c r="Q27" s="1056" t="s">
        <v>1308</v>
      </c>
      <c r="R27" s="1056" t="s">
        <v>1309</v>
      </c>
    </row>
    <row r="28" spans="1:19" ht="14.25" customHeight="1" thickBot="1">
      <c r="A28" s="1079" t="s">
        <v>1145</v>
      </c>
      <c r="B28" s="1071" t="s">
        <v>1247</v>
      </c>
      <c r="C28" s="1072"/>
      <c r="D28" s="1072">
        <v>26610</v>
      </c>
      <c r="E28" s="1072">
        <v>26370</v>
      </c>
      <c r="F28" s="1073"/>
      <c r="L28" s="1056" t="s">
        <v>1310</v>
      </c>
      <c r="M28" s="1056" t="s">
        <v>1311</v>
      </c>
      <c r="N28" s="1056" t="s">
        <v>1312</v>
      </c>
      <c r="O28" s="1056" t="s">
        <v>1313</v>
      </c>
      <c r="P28" s="1056" t="s">
        <v>1314</v>
      </c>
      <c r="Q28" s="1056" t="s">
        <v>1315</v>
      </c>
    </row>
    <row r="29" spans="1:19" ht="14.25" customHeight="1" thickBot="1">
      <c r="A29" s="1062" t="s">
        <v>1316</v>
      </c>
      <c r="B29" s="1063" t="s">
        <v>1317</v>
      </c>
      <c r="C29" s="1063">
        <v>22090</v>
      </c>
      <c r="D29" s="1063">
        <v>21860</v>
      </c>
      <c r="E29" s="1063">
        <v>19380</v>
      </c>
      <c r="F29" s="1064">
        <v>6610</v>
      </c>
      <c r="M29" s="1056" t="s">
        <v>1318</v>
      </c>
      <c r="N29" s="1056" t="s">
        <v>1319</v>
      </c>
      <c r="O29" s="1056" t="s">
        <v>1320</v>
      </c>
      <c r="P29" s="1056" t="s">
        <v>1321</v>
      </c>
      <c r="Q29" s="1056" t="s">
        <v>1322</v>
      </c>
    </row>
    <row r="30" spans="1:19" ht="14.25" customHeight="1" thickBot="1">
      <c r="A30" s="1062" t="s">
        <v>1316</v>
      </c>
      <c r="B30" s="1070" t="s">
        <v>1062</v>
      </c>
      <c r="C30" s="1056">
        <v>21380</v>
      </c>
      <c r="D30" s="1056">
        <v>19930</v>
      </c>
      <c r="E30" s="1056">
        <v>19860</v>
      </c>
      <c r="F30" s="1074">
        <v>6010</v>
      </c>
      <c r="H30" s="1078"/>
      <c r="M30" s="1056" t="s">
        <v>1323</v>
      </c>
      <c r="N30" s="1056" t="s">
        <v>1324</v>
      </c>
      <c r="O30" s="1056" t="s">
        <v>1325</v>
      </c>
      <c r="P30" s="1056" t="s">
        <v>2405</v>
      </c>
      <c r="Q30" s="1056" t="s">
        <v>1326</v>
      </c>
    </row>
    <row r="31" spans="1:19" ht="14.25" customHeight="1" thickBot="1">
      <c r="A31" s="1062" t="s">
        <v>1316</v>
      </c>
      <c r="B31" s="1070" t="s">
        <v>1076</v>
      </c>
      <c r="C31" s="1056">
        <v>21670</v>
      </c>
      <c r="D31" s="1056">
        <v>20660</v>
      </c>
      <c r="E31" s="1056">
        <v>20290</v>
      </c>
      <c r="F31" s="1074">
        <v>5840</v>
      </c>
      <c r="H31" s="1078"/>
      <c r="M31" s="1056" t="s">
        <v>1327</v>
      </c>
      <c r="N31" s="1056" t="s">
        <v>1328</v>
      </c>
      <c r="O31" s="1056" t="s">
        <v>1329</v>
      </c>
      <c r="P31" s="1056" t="s">
        <v>1330</v>
      </c>
      <c r="Q31" s="1056" t="s">
        <v>1331</v>
      </c>
    </row>
    <row r="32" spans="1:19" ht="14.25" customHeight="1" thickBot="1">
      <c r="A32" s="1062" t="s">
        <v>1316</v>
      </c>
      <c r="B32" s="1070" t="s">
        <v>1089</v>
      </c>
      <c r="C32" s="1056">
        <v>22280</v>
      </c>
      <c r="D32" s="1056">
        <v>21800</v>
      </c>
      <c r="E32" s="1056">
        <v>17650</v>
      </c>
      <c r="F32" s="1074">
        <v>4690</v>
      </c>
      <c r="H32" s="1078"/>
      <c r="M32" s="1056" t="s">
        <v>1332</v>
      </c>
      <c r="N32" s="1056" t="s">
        <v>1333</v>
      </c>
      <c r="O32" s="1056" t="s">
        <v>1334</v>
      </c>
      <c r="P32" s="1056" t="s">
        <v>1335</v>
      </c>
      <c r="Q32" s="1056" t="s">
        <v>1336</v>
      </c>
    </row>
    <row r="33" spans="1:17" ht="14.25" customHeight="1" thickBot="1">
      <c r="A33" s="1062" t="s">
        <v>1316</v>
      </c>
      <c r="B33" s="1070" t="s">
        <v>1103</v>
      </c>
      <c r="C33" s="1056">
        <v>22130</v>
      </c>
      <c r="D33" s="1056">
        <v>20460</v>
      </c>
      <c r="E33" s="1056">
        <v>18500</v>
      </c>
      <c r="F33" s="1074">
        <v>5340</v>
      </c>
      <c r="H33" s="1078"/>
      <c r="M33" s="1056" t="s">
        <v>1337</v>
      </c>
      <c r="N33" s="1056" t="s">
        <v>1338</v>
      </c>
      <c r="O33" s="1056" t="s">
        <v>1339</v>
      </c>
      <c r="P33" s="1056" t="s">
        <v>1340</v>
      </c>
      <c r="Q33" s="1056" t="s">
        <v>1341</v>
      </c>
    </row>
    <row r="34" spans="1:17" ht="14.25" customHeight="1" thickBot="1">
      <c r="A34" s="1062" t="s">
        <v>1316</v>
      </c>
      <c r="B34" s="1070" t="s">
        <v>1114</v>
      </c>
      <c r="C34" s="1056">
        <v>22070</v>
      </c>
      <c r="D34" s="1056">
        <v>20110</v>
      </c>
      <c r="E34" s="1056">
        <v>18830</v>
      </c>
      <c r="F34" s="1074">
        <v>5190</v>
      </c>
      <c r="H34" s="1078"/>
      <c r="M34" s="1056" t="s">
        <v>1342</v>
      </c>
      <c r="N34" s="1056" t="s">
        <v>1343</v>
      </c>
      <c r="O34" s="1056" t="s">
        <v>1344</v>
      </c>
      <c r="P34" s="1056" t="s">
        <v>1345</v>
      </c>
      <c r="Q34" s="1056" t="s">
        <v>1346</v>
      </c>
    </row>
    <row r="35" spans="1:17" ht="14.25" customHeight="1" thickBot="1">
      <c r="A35" s="1062" t="s">
        <v>1316</v>
      </c>
      <c r="B35" s="1070" t="s">
        <v>1125</v>
      </c>
      <c r="C35" s="1056">
        <v>22240</v>
      </c>
      <c r="D35" s="1056">
        <v>19550</v>
      </c>
      <c r="E35" s="1056">
        <v>19220</v>
      </c>
      <c r="F35" s="1074">
        <v>5800</v>
      </c>
      <c r="H35" s="1078"/>
      <c r="M35" s="1056" t="s">
        <v>1347</v>
      </c>
      <c r="N35" s="1056" t="s">
        <v>1348</v>
      </c>
      <c r="O35" s="1056" t="s">
        <v>1349</v>
      </c>
      <c r="P35" s="1056" t="s">
        <v>1350</v>
      </c>
      <c r="Q35" s="1056" t="s">
        <v>1351</v>
      </c>
    </row>
    <row r="36" spans="1:17" ht="14.25" customHeight="1" thickBot="1">
      <c r="A36" s="1062" t="s">
        <v>1316</v>
      </c>
      <c r="B36" s="1070" t="s">
        <v>1136</v>
      </c>
      <c r="C36" s="1056">
        <v>19750</v>
      </c>
      <c r="D36" s="1056">
        <v>19790</v>
      </c>
      <c r="E36" s="1056">
        <v>18510</v>
      </c>
      <c r="F36" s="1074">
        <v>6520</v>
      </c>
      <c r="H36" s="1078"/>
      <c r="N36" s="1056" t="s">
        <v>1352</v>
      </c>
      <c r="O36" s="1056" t="s">
        <v>1353</v>
      </c>
      <c r="P36" s="1056" t="s">
        <v>1354</v>
      </c>
      <c r="Q36" s="1056" t="s">
        <v>1355</v>
      </c>
    </row>
    <row r="37" spans="1:17" ht="14.25" customHeight="1" thickBot="1">
      <c r="A37" s="1062" t="s">
        <v>1316</v>
      </c>
      <c r="B37" s="1070" t="s">
        <v>1148</v>
      </c>
      <c r="C37" s="1056">
        <v>22380</v>
      </c>
      <c r="D37" s="1056">
        <v>18530</v>
      </c>
      <c r="E37" s="1056">
        <v>17930</v>
      </c>
      <c r="F37" s="1074">
        <v>6270</v>
      </c>
      <c r="H37" s="1080"/>
      <c r="N37" s="1056" t="s">
        <v>1356</v>
      </c>
      <c r="O37" s="1056" t="s">
        <v>1357</v>
      </c>
      <c r="P37" s="1056" t="s">
        <v>1358</v>
      </c>
      <c r="Q37" s="1056" t="s">
        <v>1359</v>
      </c>
    </row>
    <row r="38" spans="1:17" ht="14.25" customHeight="1" thickBot="1">
      <c r="A38" s="1062" t="s">
        <v>1316</v>
      </c>
      <c r="B38" s="1070" t="s">
        <v>1158</v>
      </c>
      <c r="C38" s="1056">
        <v>20200</v>
      </c>
      <c r="D38" s="1056">
        <v>20070</v>
      </c>
      <c r="E38" s="1056">
        <v>19950</v>
      </c>
      <c r="F38" s="1074"/>
      <c r="H38" s="1081"/>
      <c r="N38" s="1056" t="s">
        <v>1360</v>
      </c>
      <c r="O38" s="1056" t="s">
        <v>1361</v>
      </c>
      <c r="P38" s="1056" t="s">
        <v>1362</v>
      </c>
      <c r="Q38" s="1056" t="s">
        <v>1363</v>
      </c>
    </row>
    <row r="39" spans="1:17" ht="14.25" customHeight="1" thickBot="1">
      <c r="A39" s="1062" t="s">
        <v>1316</v>
      </c>
      <c r="B39" s="1070" t="s">
        <v>1168</v>
      </c>
      <c r="C39" s="1056">
        <v>19300</v>
      </c>
      <c r="D39" s="1056">
        <v>20360</v>
      </c>
      <c r="E39" s="1056">
        <v>20230</v>
      </c>
      <c r="F39" s="1074"/>
      <c r="H39" s="1081"/>
      <c r="N39" s="1056" t="s">
        <v>1364</v>
      </c>
      <c r="O39" s="1056" t="s">
        <v>1365</v>
      </c>
      <c r="P39" s="1056" t="s">
        <v>1366</v>
      </c>
      <c r="Q39" s="1056" t="s">
        <v>1367</v>
      </c>
    </row>
    <row r="40" spans="1:17" ht="14.25" customHeight="1" thickBot="1">
      <c r="A40" s="1062" t="s">
        <v>1316</v>
      </c>
      <c r="B40" s="1070" t="s">
        <v>1178</v>
      </c>
      <c r="C40" s="1056">
        <v>20210</v>
      </c>
      <c r="D40" s="1056">
        <v>19060</v>
      </c>
      <c r="E40" s="1056">
        <v>18890</v>
      </c>
      <c r="F40" s="1074"/>
      <c r="H40" s="1081"/>
      <c r="N40" s="1056" t="s">
        <v>1368</v>
      </c>
      <c r="O40" s="1056" t="s">
        <v>1369</v>
      </c>
      <c r="P40" s="1056" t="s">
        <v>1370</v>
      </c>
      <c r="Q40" s="1056" t="s">
        <v>1371</v>
      </c>
    </row>
    <row r="41" spans="1:17" ht="14.25" customHeight="1" thickBot="1">
      <c r="A41" s="1062" t="s">
        <v>1316</v>
      </c>
      <c r="B41" s="1070" t="s">
        <v>1188</v>
      </c>
      <c r="C41" s="1056">
        <v>20560</v>
      </c>
      <c r="D41" s="1056">
        <v>21040</v>
      </c>
      <c r="E41" s="1056">
        <v>20740</v>
      </c>
      <c r="F41" s="1074"/>
      <c r="H41" s="1081"/>
      <c r="N41" s="1070" t="s">
        <v>1372</v>
      </c>
      <c r="O41" s="1070" t="s">
        <v>1373</v>
      </c>
      <c r="Q41" s="1070" t="s">
        <v>1374</v>
      </c>
    </row>
    <row r="42" spans="1:17" ht="14.25" customHeight="1" thickBot="1">
      <c r="A42" s="1062" t="s">
        <v>1316</v>
      </c>
      <c r="B42" s="1070" t="s">
        <v>1198</v>
      </c>
      <c r="C42" s="1056">
        <v>19280</v>
      </c>
      <c r="D42" s="1056">
        <v>22940</v>
      </c>
      <c r="E42" s="1056">
        <v>22500</v>
      </c>
      <c r="F42" s="1074"/>
      <c r="H42" s="1081"/>
      <c r="N42" s="1056" t="s">
        <v>1375</v>
      </c>
      <c r="O42" s="1056" t="s">
        <v>1376</v>
      </c>
      <c r="Q42" s="1056" t="s">
        <v>1377</v>
      </c>
    </row>
    <row r="43" spans="1:17" ht="14.25" customHeight="1" thickBot="1">
      <c r="A43" s="1062" t="s">
        <v>1316</v>
      </c>
      <c r="B43" s="1070" t="s">
        <v>1208</v>
      </c>
      <c r="C43" s="1056">
        <v>21520</v>
      </c>
      <c r="D43" s="1056">
        <v>19230</v>
      </c>
      <c r="E43" s="1056">
        <v>18540</v>
      </c>
      <c r="F43" s="1074"/>
      <c r="H43" s="1081"/>
      <c r="N43" s="1056" t="s">
        <v>1378</v>
      </c>
      <c r="O43" s="1056" t="s">
        <v>1379</v>
      </c>
      <c r="Q43" s="1056" t="s">
        <v>1380</v>
      </c>
    </row>
    <row r="44" spans="1:17" ht="14.25" customHeight="1" thickBot="1">
      <c r="A44" s="1062" t="s">
        <v>1316</v>
      </c>
      <c r="B44" s="1070" t="s">
        <v>1218</v>
      </c>
      <c r="C44" s="1056">
        <v>23260</v>
      </c>
      <c r="D44" s="1056">
        <v>21180</v>
      </c>
      <c r="E44" s="1056">
        <v>20730</v>
      </c>
      <c r="F44" s="1074"/>
      <c r="H44" s="1081"/>
      <c r="N44" s="1056" t="s">
        <v>1381</v>
      </c>
      <c r="O44" s="1056" t="s">
        <v>1382</v>
      </c>
      <c r="Q44" s="1056" t="s">
        <v>1383</v>
      </c>
    </row>
    <row r="45" spans="1:17" ht="14.25" customHeight="1" thickBot="1">
      <c r="A45" s="1062" t="s">
        <v>1316</v>
      </c>
      <c r="B45" s="1070" t="s">
        <v>1228</v>
      </c>
      <c r="C45" s="1056">
        <v>19610</v>
      </c>
      <c r="D45" s="1056">
        <v>18090</v>
      </c>
      <c r="E45" s="1056">
        <v>17970</v>
      </c>
      <c r="F45" s="1074"/>
      <c r="H45" s="1078"/>
      <c r="N45" s="1056" t="s">
        <v>1384</v>
      </c>
      <c r="O45" s="1056" t="s">
        <v>1385</v>
      </c>
      <c r="Q45" s="1056" t="s">
        <v>1386</v>
      </c>
    </row>
    <row r="46" spans="1:17" ht="14.25" customHeight="1" thickBot="1">
      <c r="A46" s="1062" t="s">
        <v>1316</v>
      </c>
      <c r="B46" s="1070" t="s">
        <v>1238</v>
      </c>
      <c r="C46" s="1056">
        <v>21660</v>
      </c>
      <c r="D46" s="1056">
        <v>19190</v>
      </c>
      <c r="E46" s="1056">
        <v>19790</v>
      </c>
      <c r="F46" s="1074"/>
      <c r="H46" s="1081"/>
      <c r="N46" s="1056" t="s">
        <v>1387</v>
      </c>
      <c r="O46" s="1056" t="s">
        <v>1388</v>
      </c>
      <c r="Q46" s="1056" t="s">
        <v>1389</v>
      </c>
    </row>
    <row r="47" spans="1:17" ht="14.25" customHeight="1" thickBot="1">
      <c r="A47" s="1062" t="s">
        <v>1316</v>
      </c>
      <c r="B47" s="1070" t="s">
        <v>1248</v>
      </c>
      <c r="C47" s="1056">
        <v>18220</v>
      </c>
      <c r="D47" s="1056"/>
      <c r="E47" s="1056">
        <v>17220</v>
      </c>
      <c r="F47" s="1074"/>
      <c r="H47" s="1081"/>
      <c r="N47" s="1056" t="s">
        <v>1390</v>
      </c>
      <c r="O47" s="1056" t="s">
        <v>1391</v>
      </c>
    </row>
    <row r="48" spans="1:17" ht="14.25" customHeight="1" thickBot="1">
      <c r="A48" s="1062" t="s">
        <v>1316</v>
      </c>
      <c r="B48" s="1071" t="s">
        <v>1257</v>
      </c>
      <c r="C48" s="1072">
        <v>19430</v>
      </c>
      <c r="D48" s="1072"/>
      <c r="E48" s="1072">
        <v>17830</v>
      </c>
      <c r="F48" s="1082"/>
      <c r="H48" s="1078"/>
      <c r="N48" s="1056" t="s">
        <v>1392</v>
      </c>
      <c r="O48" s="1056" t="s">
        <v>1393</v>
      </c>
    </row>
    <row r="49" spans="1:15" ht="14.25" customHeight="1" thickBot="1">
      <c r="A49" s="1062" t="s">
        <v>915</v>
      </c>
      <c r="B49" s="1063" t="s">
        <v>1394</v>
      </c>
      <c r="C49" s="1063">
        <v>17090</v>
      </c>
      <c r="D49" s="1063">
        <v>16950</v>
      </c>
      <c r="E49" s="1063">
        <v>16310</v>
      </c>
      <c r="F49" s="1064">
        <v>4540</v>
      </c>
      <c r="H49" s="1081"/>
      <c r="N49" s="1056" t="s">
        <v>1395</v>
      </c>
      <c r="O49" s="1056" t="s">
        <v>1396</v>
      </c>
    </row>
    <row r="50" spans="1:15" ht="14.25" customHeight="1" thickBot="1">
      <c r="A50" s="1062" t="s">
        <v>915</v>
      </c>
      <c r="B50" s="1056" t="s">
        <v>1063</v>
      </c>
      <c r="C50" s="1056">
        <v>19040</v>
      </c>
      <c r="D50" s="1056">
        <v>16960</v>
      </c>
      <c r="E50" s="1056">
        <v>14800</v>
      </c>
      <c r="F50" s="1074">
        <v>3940</v>
      </c>
      <c r="H50" s="1081"/>
    </row>
    <row r="51" spans="1:15" ht="14.25" customHeight="1" thickBot="1">
      <c r="A51" s="1062" t="s">
        <v>915</v>
      </c>
      <c r="B51" s="1056" t="s">
        <v>1077</v>
      </c>
      <c r="C51" s="1056">
        <v>17040</v>
      </c>
      <c r="D51" s="1056">
        <v>16930</v>
      </c>
      <c r="E51" s="1056">
        <v>15030</v>
      </c>
      <c r="F51" s="1074">
        <v>4120</v>
      </c>
      <c r="H51" s="1081"/>
    </row>
    <row r="52" spans="1:15" ht="14.25" customHeight="1" thickBot="1">
      <c r="A52" s="1062" t="s">
        <v>915</v>
      </c>
      <c r="B52" s="1056" t="s">
        <v>1090</v>
      </c>
      <c r="C52" s="1056">
        <v>17110</v>
      </c>
      <c r="D52" s="1056">
        <v>17750</v>
      </c>
      <c r="E52" s="1056">
        <v>17310</v>
      </c>
      <c r="F52" s="1074">
        <v>3220</v>
      </c>
      <c r="H52" s="1081"/>
    </row>
    <row r="53" spans="1:15" ht="14.25" customHeight="1" thickBot="1">
      <c r="A53" s="1062" t="s">
        <v>915</v>
      </c>
      <c r="B53" s="1056" t="s">
        <v>1104</v>
      </c>
      <c r="C53" s="1056">
        <v>17810</v>
      </c>
      <c r="D53" s="1056">
        <v>17260</v>
      </c>
      <c r="E53" s="1056">
        <v>17090</v>
      </c>
      <c r="F53" s="1074">
        <v>3520</v>
      </c>
      <c r="H53" s="1081"/>
    </row>
    <row r="54" spans="1:15" ht="14.25" customHeight="1" thickBot="1">
      <c r="A54" s="1062" t="s">
        <v>915</v>
      </c>
      <c r="B54" s="1056" t="s">
        <v>1115</v>
      </c>
      <c r="C54" s="1056">
        <v>17410</v>
      </c>
      <c r="D54" s="1056">
        <v>16780</v>
      </c>
      <c r="E54" s="1056">
        <v>16370</v>
      </c>
      <c r="F54" s="1074">
        <v>3410</v>
      </c>
      <c r="H54" s="1081"/>
    </row>
    <row r="55" spans="1:15" ht="14.25" customHeight="1" thickBot="1">
      <c r="A55" s="1062" t="s">
        <v>915</v>
      </c>
      <c r="B55" s="1056" t="s">
        <v>1126</v>
      </c>
      <c r="C55" s="1056">
        <v>16930</v>
      </c>
      <c r="D55" s="1056">
        <v>14720</v>
      </c>
      <c r="E55" s="1056">
        <v>15000</v>
      </c>
      <c r="F55" s="1074">
        <v>3710</v>
      </c>
      <c r="H55" s="1081"/>
    </row>
    <row r="56" spans="1:15" ht="14.25" customHeight="1" thickBot="1">
      <c r="A56" s="1062" t="s">
        <v>915</v>
      </c>
      <c r="B56" s="1056" t="s">
        <v>1137</v>
      </c>
      <c r="C56" s="1056">
        <v>14930</v>
      </c>
      <c r="D56" s="1056">
        <v>15850</v>
      </c>
      <c r="E56" s="1056">
        <v>14320</v>
      </c>
      <c r="F56" s="1074">
        <v>3960</v>
      </c>
      <c r="H56" s="1081"/>
    </row>
    <row r="57" spans="1:15" ht="14.25" customHeight="1" thickBot="1">
      <c r="A57" s="1062" t="s">
        <v>915</v>
      </c>
      <c r="B57" s="1056" t="s">
        <v>1149</v>
      </c>
      <c r="C57" s="1056">
        <v>16160</v>
      </c>
      <c r="D57" s="1056">
        <v>16190</v>
      </c>
      <c r="E57" s="1056">
        <v>15650</v>
      </c>
      <c r="F57" s="1074">
        <v>4200</v>
      </c>
      <c r="H57" s="1081"/>
    </row>
    <row r="58" spans="1:15" ht="14.25" customHeight="1" thickBot="1">
      <c r="A58" s="1062" t="s">
        <v>915</v>
      </c>
      <c r="B58" s="1056" t="s">
        <v>1159</v>
      </c>
      <c r="C58" s="1056">
        <v>16360</v>
      </c>
      <c r="D58" s="1056">
        <v>14050</v>
      </c>
      <c r="E58" s="1056">
        <v>16070</v>
      </c>
      <c r="F58" s="1074">
        <v>3990</v>
      </c>
      <c r="H58" s="1081"/>
    </row>
    <row r="59" spans="1:15" ht="14.25" customHeight="1" thickBot="1">
      <c r="A59" s="1062" t="s">
        <v>915</v>
      </c>
      <c r="B59" s="1056" t="s">
        <v>1169</v>
      </c>
      <c r="C59" s="1056">
        <v>14160</v>
      </c>
      <c r="D59" s="1056">
        <v>16620</v>
      </c>
      <c r="E59" s="1056">
        <v>13940</v>
      </c>
      <c r="F59" s="1074">
        <v>4260</v>
      </c>
      <c r="H59" s="1081"/>
    </row>
    <row r="60" spans="1:15" ht="14.25" customHeight="1" thickBot="1">
      <c r="A60" s="1062" t="s">
        <v>915</v>
      </c>
      <c r="B60" s="1056" t="s">
        <v>1179</v>
      </c>
      <c r="C60" s="1056">
        <v>16750</v>
      </c>
      <c r="D60" s="1056">
        <v>13910</v>
      </c>
      <c r="E60" s="1056">
        <v>16550</v>
      </c>
      <c r="F60" s="1074">
        <v>4550</v>
      </c>
      <c r="H60" s="1081"/>
    </row>
    <row r="61" spans="1:15" ht="14.25" customHeight="1" thickBot="1">
      <c r="A61" s="1062" t="s">
        <v>915</v>
      </c>
      <c r="B61" s="1056" t="s">
        <v>1189</v>
      </c>
      <c r="C61" s="1056">
        <v>14000</v>
      </c>
      <c r="D61" s="1056">
        <v>14550</v>
      </c>
      <c r="E61" s="1056">
        <v>13860</v>
      </c>
      <c r="F61" s="1083"/>
      <c r="H61" s="1081"/>
    </row>
    <row r="62" spans="1:15" ht="14.25" customHeight="1" thickBot="1">
      <c r="A62" s="1062" t="s">
        <v>915</v>
      </c>
      <c r="B62" s="1056" t="s">
        <v>1199</v>
      </c>
      <c r="C62" s="1056">
        <v>14660</v>
      </c>
      <c r="D62" s="1056">
        <v>17450</v>
      </c>
      <c r="E62" s="1056">
        <v>14470</v>
      </c>
      <c r="F62" s="1083"/>
      <c r="H62" s="1081"/>
    </row>
    <row r="63" spans="1:15" ht="14.25" customHeight="1" thickBot="1">
      <c r="A63" s="1062" t="s">
        <v>915</v>
      </c>
      <c r="B63" s="1056" t="s">
        <v>1209</v>
      </c>
      <c r="C63" s="1056">
        <v>17610</v>
      </c>
      <c r="D63" s="1056">
        <v>16500</v>
      </c>
      <c r="E63" s="1056">
        <v>17330</v>
      </c>
      <c r="F63" s="1083"/>
      <c r="H63" s="1081"/>
    </row>
    <row r="64" spans="1:15" ht="14.25" customHeight="1" thickBot="1">
      <c r="A64" s="1062" t="s">
        <v>915</v>
      </c>
      <c r="B64" s="1056" t="s">
        <v>1219</v>
      </c>
      <c r="C64" s="1056">
        <v>16590</v>
      </c>
      <c r="D64" s="1056">
        <v>15130</v>
      </c>
      <c r="E64" s="1056">
        <v>16420</v>
      </c>
      <c r="F64" s="1083"/>
      <c r="H64" s="1081"/>
    </row>
    <row r="65" spans="1:8" s="1050" customFormat="1" ht="14.25" customHeight="1" thickBot="1">
      <c r="A65" s="1062" t="s">
        <v>915</v>
      </c>
      <c r="B65" s="1056" t="s">
        <v>1229</v>
      </c>
      <c r="C65" s="1056">
        <v>15220</v>
      </c>
      <c r="D65" s="1056">
        <v>14660</v>
      </c>
      <c r="E65" s="1056">
        <v>15060</v>
      </c>
      <c r="F65" s="1074"/>
      <c r="H65" s="1081"/>
    </row>
    <row r="66" spans="1:8" s="1050" customFormat="1" ht="14.25" customHeight="1" thickBot="1">
      <c r="A66" s="1062" t="s">
        <v>915</v>
      </c>
      <c r="B66" s="1056" t="s">
        <v>1239</v>
      </c>
      <c r="C66" s="1056">
        <v>14720</v>
      </c>
      <c r="D66" s="1056">
        <v>15970</v>
      </c>
      <c r="E66" s="1056">
        <v>14610</v>
      </c>
      <c r="F66" s="1074"/>
      <c r="H66" s="1081"/>
    </row>
    <row r="67" spans="1:8" s="1050" customFormat="1" ht="14.25" customHeight="1" thickBot="1">
      <c r="A67" s="1062" t="s">
        <v>915</v>
      </c>
      <c r="B67" s="1056" t="s">
        <v>1249</v>
      </c>
      <c r="C67" s="1056">
        <v>16080</v>
      </c>
      <c r="D67" s="1056">
        <v>14840</v>
      </c>
      <c r="E67" s="1056">
        <v>15630</v>
      </c>
      <c r="F67" s="1074"/>
      <c r="H67" s="1081"/>
    </row>
    <row r="68" spans="1:8" s="1050" customFormat="1" ht="14.25" customHeight="1" thickBot="1">
      <c r="A68" s="1062" t="s">
        <v>915</v>
      </c>
      <c r="B68" s="1056" t="s">
        <v>1258</v>
      </c>
      <c r="C68" s="1056">
        <v>14940</v>
      </c>
      <c r="D68" s="1056">
        <v>18000</v>
      </c>
      <c r="E68" s="1056">
        <v>14040</v>
      </c>
      <c r="F68" s="1074"/>
      <c r="H68" s="1081"/>
    </row>
    <row r="69" spans="1:8" s="1050" customFormat="1" ht="14.25" customHeight="1" thickBot="1">
      <c r="A69" s="1062" t="s">
        <v>915</v>
      </c>
      <c r="B69" s="1056" t="s">
        <v>1267</v>
      </c>
      <c r="C69" s="1056">
        <v>18810</v>
      </c>
      <c r="D69" s="1056">
        <v>15100</v>
      </c>
      <c r="E69" s="1056">
        <v>14710</v>
      </c>
      <c r="F69" s="1074"/>
      <c r="H69" s="1081"/>
    </row>
    <row r="70" spans="1:8" s="1050" customFormat="1" ht="14.25" customHeight="1" thickBot="1">
      <c r="A70" s="1062" t="s">
        <v>915</v>
      </c>
      <c r="B70" s="1056" t="s">
        <v>1275</v>
      </c>
      <c r="C70" s="1056">
        <v>18270</v>
      </c>
      <c r="D70" s="1056"/>
      <c r="E70" s="1056"/>
      <c r="F70" s="1074"/>
      <c r="H70" s="1081"/>
    </row>
    <row r="71" spans="1:8" s="1050" customFormat="1" ht="14.25" customHeight="1" thickBot="1">
      <c r="A71" s="1062" t="s">
        <v>915</v>
      </c>
      <c r="B71" s="1056" t="s">
        <v>1282</v>
      </c>
      <c r="C71" s="1056">
        <v>15230</v>
      </c>
      <c r="D71" s="1056"/>
      <c r="E71" s="1056"/>
      <c r="F71" s="1074"/>
      <c r="H71" s="1081"/>
    </row>
    <row r="72" spans="1:8" s="1050" customFormat="1" ht="14.25" customHeight="1" thickBot="1">
      <c r="A72" s="1062" t="s">
        <v>915</v>
      </c>
      <c r="B72" s="1056" t="s">
        <v>1289</v>
      </c>
      <c r="C72" s="1056"/>
      <c r="D72" s="1056"/>
      <c r="E72" s="1056"/>
      <c r="F72" s="1074">
        <v>4120</v>
      </c>
      <c r="H72" s="1081"/>
    </row>
    <row r="73" spans="1:8" s="1050" customFormat="1" ht="14.25" customHeight="1" thickBot="1">
      <c r="A73" s="1062" t="s">
        <v>915</v>
      </c>
      <c r="B73" s="1056" t="s">
        <v>1296</v>
      </c>
      <c r="C73" s="1056"/>
      <c r="D73" s="1056"/>
      <c r="E73" s="1056"/>
      <c r="F73" s="1074">
        <v>3930</v>
      </c>
      <c r="H73" s="1081"/>
    </row>
    <row r="74" spans="1:8" s="1050" customFormat="1" ht="14.25" customHeight="1" thickBot="1">
      <c r="A74" s="1062" t="s">
        <v>915</v>
      </c>
      <c r="B74" s="1056" t="s">
        <v>1303</v>
      </c>
      <c r="C74" s="1056"/>
      <c r="D74" s="1056"/>
      <c r="E74" s="1056"/>
      <c r="F74" s="1074">
        <v>4060</v>
      </c>
      <c r="H74" s="1081"/>
    </row>
    <row r="75" spans="1:8" s="1050" customFormat="1" ht="14.25" customHeight="1" thickBot="1">
      <c r="A75" s="1062" t="s">
        <v>915</v>
      </c>
      <c r="B75" s="1072" t="s">
        <v>1310</v>
      </c>
      <c r="C75" s="1072"/>
      <c r="D75" s="1072"/>
      <c r="E75" s="1072"/>
      <c r="F75" s="1082">
        <v>3750</v>
      </c>
      <c r="H75" s="1081"/>
    </row>
    <row r="76" spans="1:8" s="1050" customFormat="1" ht="14.25" customHeight="1" thickBot="1">
      <c r="A76" s="1062" t="s">
        <v>1397</v>
      </c>
      <c r="B76" s="1063" t="s">
        <v>1398</v>
      </c>
      <c r="C76" s="1063">
        <v>14690</v>
      </c>
      <c r="D76" s="1063">
        <v>14640</v>
      </c>
      <c r="E76" s="1063">
        <v>14590</v>
      </c>
      <c r="F76" s="1064">
        <v>3060</v>
      </c>
      <c r="H76" s="1081"/>
    </row>
    <row r="77" spans="1:8" s="1050" customFormat="1" ht="14.25" customHeight="1" thickBot="1">
      <c r="A77" s="1062" t="s">
        <v>1397</v>
      </c>
      <c r="B77" s="1056" t="s">
        <v>1064</v>
      </c>
      <c r="C77" s="1056">
        <v>12550</v>
      </c>
      <c r="D77" s="1056">
        <v>12480</v>
      </c>
      <c r="E77" s="1056">
        <v>12450</v>
      </c>
      <c r="F77" s="1074">
        <v>2590</v>
      </c>
      <c r="H77" s="1081"/>
    </row>
    <row r="78" spans="1:8" s="1050" customFormat="1" ht="14.25" customHeight="1" thickBot="1">
      <c r="A78" s="1062" t="s">
        <v>1397</v>
      </c>
      <c r="B78" s="1056" t="s">
        <v>1078</v>
      </c>
      <c r="C78" s="1056">
        <v>14360</v>
      </c>
      <c r="D78" s="1056">
        <v>14320</v>
      </c>
      <c r="E78" s="1056">
        <v>12510</v>
      </c>
      <c r="F78" s="1074">
        <v>2700</v>
      </c>
      <c r="H78" s="1081"/>
    </row>
    <row r="79" spans="1:8" s="1050" customFormat="1" ht="14.25" customHeight="1" thickBot="1">
      <c r="A79" s="1062" t="s">
        <v>1397</v>
      </c>
      <c r="B79" s="1056" t="s">
        <v>1091</v>
      </c>
      <c r="C79" s="1056">
        <v>12590</v>
      </c>
      <c r="D79" s="1056">
        <v>12540</v>
      </c>
      <c r="E79" s="1056">
        <v>12350</v>
      </c>
      <c r="F79" s="1074">
        <v>2740</v>
      </c>
      <c r="H79" s="1081"/>
    </row>
    <row r="80" spans="1:8" s="1050" customFormat="1" ht="14.25" customHeight="1" thickBot="1">
      <c r="A80" s="1062" t="s">
        <v>1397</v>
      </c>
      <c r="B80" s="1056" t="s">
        <v>1105</v>
      </c>
      <c r="C80" s="1056">
        <v>12450</v>
      </c>
      <c r="D80" s="1056">
        <v>12370</v>
      </c>
      <c r="E80" s="1056">
        <v>10790</v>
      </c>
      <c r="F80" s="1074">
        <v>2290</v>
      </c>
      <c r="H80" s="1081"/>
    </row>
    <row r="81" spans="1:8" s="1050" customFormat="1" ht="14.25" customHeight="1" thickBot="1">
      <c r="A81" s="1062" t="s">
        <v>1397</v>
      </c>
      <c r="B81" s="1056" t="s">
        <v>1116</v>
      </c>
      <c r="C81" s="1056">
        <v>14210</v>
      </c>
      <c r="D81" s="1056">
        <v>14150</v>
      </c>
      <c r="E81" s="1056">
        <v>12730</v>
      </c>
      <c r="F81" s="1074">
        <v>2240</v>
      </c>
      <c r="H81" s="1081"/>
    </row>
    <row r="82" spans="1:8" s="1050" customFormat="1" ht="14.25" customHeight="1" thickBot="1">
      <c r="A82" s="1062" t="s">
        <v>1397</v>
      </c>
      <c r="B82" s="1056" t="s">
        <v>1127</v>
      </c>
      <c r="C82" s="1056">
        <v>10860</v>
      </c>
      <c r="D82" s="1056">
        <v>10820</v>
      </c>
      <c r="E82" s="1056">
        <v>14720</v>
      </c>
      <c r="F82" s="1074">
        <v>2490</v>
      </c>
      <c r="H82" s="1081"/>
    </row>
    <row r="83" spans="1:8" s="1050" customFormat="1" ht="14.25" customHeight="1" thickBot="1">
      <c r="A83" s="1062" t="s">
        <v>1397</v>
      </c>
      <c r="B83" s="1056" t="s">
        <v>1138</v>
      </c>
      <c r="C83" s="1056">
        <v>12810</v>
      </c>
      <c r="D83" s="1056">
        <v>12760</v>
      </c>
      <c r="E83" s="1056">
        <v>14830</v>
      </c>
      <c r="F83" s="1074">
        <v>2450</v>
      </c>
      <c r="H83" s="1081"/>
    </row>
    <row r="84" spans="1:8" s="1050" customFormat="1" ht="14.25" customHeight="1" thickBot="1">
      <c r="A84" s="1062" t="s">
        <v>1397</v>
      </c>
      <c r="B84" s="1056" t="s">
        <v>1150</v>
      </c>
      <c r="C84" s="1056">
        <v>14950</v>
      </c>
      <c r="D84" s="1056">
        <v>14810</v>
      </c>
      <c r="E84" s="1056">
        <v>12590</v>
      </c>
      <c r="F84" s="1074">
        <v>2540</v>
      </c>
      <c r="H84" s="1081"/>
    </row>
    <row r="85" spans="1:8" s="1050" customFormat="1" ht="14.25" customHeight="1" thickBot="1">
      <c r="A85" s="1062" t="s">
        <v>1397</v>
      </c>
      <c r="B85" s="1056" t="s">
        <v>1160</v>
      </c>
      <c r="C85" s="1056">
        <v>14960</v>
      </c>
      <c r="D85" s="1056">
        <v>14890</v>
      </c>
      <c r="E85" s="1056">
        <v>12840</v>
      </c>
      <c r="F85" s="1074">
        <v>2840</v>
      </c>
      <c r="H85" s="1081"/>
    </row>
    <row r="86" spans="1:8" s="1050" customFormat="1" ht="14.25" customHeight="1" thickBot="1">
      <c r="A86" s="1062" t="s">
        <v>1397</v>
      </c>
      <c r="B86" s="1056" t="s">
        <v>1170</v>
      </c>
      <c r="C86" s="1056">
        <v>12730</v>
      </c>
      <c r="D86" s="1056">
        <v>12660</v>
      </c>
      <c r="E86" s="1056">
        <v>13310</v>
      </c>
      <c r="F86" s="1074">
        <v>3140</v>
      </c>
      <c r="H86" s="1081"/>
    </row>
    <row r="87" spans="1:8" s="1050" customFormat="1" ht="14.25" customHeight="1" thickBot="1">
      <c r="A87" s="1062" t="s">
        <v>1397</v>
      </c>
      <c r="B87" s="1056" t="s">
        <v>1180</v>
      </c>
      <c r="C87" s="1056">
        <v>12940</v>
      </c>
      <c r="D87" s="1056">
        <v>12890</v>
      </c>
      <c r="E87" s="1056">
        <v>11580</v>
      </c>
      <c r="F87" s="1083"/>
      <c r="H87" s="1081"/>
    </row>
    <row r="88" spans="1:8" s="1050" customFormat="1" ht="14.25" customHeight="1" thickBot="1">
      <c r="A88" s="1062" t="s">
        <v>1397</v>
      </c>
      <c r="B88" s="1056" t="s">
        <v>1190</v>
      </c>
      <c r="C88" s="1056">
        <v>13430</v>
      </c>
      <c r="D88" s="1056">
        <v>13360</v>
      </c>
      <c r="E88" s="1056">
        <v>12790</v>
      </c>
      <c r="F88" s="1083"/>
      <c r="H88" s="1081"/>
    </row>
    <row r="89" spans="1:8" s="1050" customFormat="1" ht="14.25" customHeight="1" thickBot="1">
      <c r="A89" s="1062" t="s">
        <v>1397</v>
      </c>
      <c r="B89" s="1056" t="s">
        <v>1200</v>
      </c>
      <c r="C89" s="1056">
        <v>11680</v>
      </c>
      <c r="D89" s="1056">
        <v>11630</v>
      </c>
      <c r="E89" s="1056">
        <v>11320</v>
      </c>
      <c r="F89" s="1083"/>
      <c r="H89" s="1081"/>
    </row>
    <row r="90" spans="1:8" s="1050" customFormat="1" ht="14.25" customHeight="1" thickBot="1">
      <c r="A90" s="1062" t="s">
        <v>1397</v>
      </c>
      <c r="B90" s="1056" t="s">
        <v>1210</v>
      </c>
      <c r="C90" s="1056">
        <v>12890</v>
      </c>
      <c r="D90" s="1056">
        <v>12820</v>
      </c>
      <c r="E90" s="1056">
        <v>12710</v>
      </c>
      <c r="F90" s="1083"/>
      <c r="H90" s="1081"/>
    </row>
    <row r="91" spans="1:8" s="1050" customFormat="1" ht="14.25" customHeight="1" thickBot="1">
      <c r="A91" s="1062" t="s">
        <v>1397</v>
      </c>
      <c r="B91" s="1056" t="s">
        <v>1220</v>
      </c>
      <c r="C91" s="1056">
        <v>11410</v>
      </c>
      <c r="D91" s="1056">
        <v>11360</v>
      </c>
      <c r="E91" s="1056">
        <v>12670</v>
      </c>
      <c r="F91" s="1083"/>
      <c r="H91" s="1081"/>
    </row>
    <row r="92" spans="1:8" s="1050" customFormat="1" ht="14.25" customHeight="1" thickBot="1">
      <c r="A92" s="1062" t="s">
        <v>1397</v>
      </c>
      <c r="B92" s="1056" t="s">
        <v>1230</v>
      </c>
      <c r="C92" s="1056">
        <v>12770</v>
      </c>
      <c r="D92" s="1056">
        <v>12740</v>
      </c>
      <c r="E92" s="1056">
        <v>11970</v>
      </c>
      <c r="F92" s="1083"/>
      <c r="H92" s="1081"/>
    </row>
    <row r="93" spans="1:8" s="1050" customFormat="1" ht="14.25" customHeight="1" thickBot="1">
      <c r="A93" s="1062" t="s">
        <v>1397</v>
      </c>
      <c r="B93" s="1056" t="s">
        <v>1240</v>
      </c>
      <c r="C93" s="1056">
        <v>12740</v>
      </c>
      <c r="D93" s="1056">
        <v>12700</v>
      </c>
      <c r="E93" s="1056">
        <v>12540</v>
      </c>
      <c r="F93" s="1083"/>
      <c r="H93" s="1081"/>
    </row>
    <row r="94" spans="1:8" s="1050" customFormat="1" ht="14.25" customHeight="1" thickBot="1">
      <c r="A94" s="1062" t="s">
        <v>1397</v>
      </c>
      <c r="B94" s="1056" t="s">
        <v>1250</v>
      </c>
      <c r="C94" s="1056">
        <v>12020</v>
      </c>
      <c r="D94" s="1056">
        <v>11990</v>
      </c>
      <c r="E94" s="1056">
        <v>13110</v>
      </c>
      <c r="F94" s="1083"/>
      <c r="H94" s="1081"/>
    </row>
    <row r="95" spans="1:8" s="1050" customFormat="1" ht="14.25" customHeight="1" thickBot="1">
      <c r="A95" s="1062" t="s">
        <v>1397</v>
      </c>
      <c r="B95" s="1056" t="s">
        <v>1259</v>
      </c>
      <c r="C95" s="1056">
        <v>12620</v>
      </c>
      <c r="D95" s="1056">
        <v>12580</v>
      </c>
      <c r="E95" s="1056">
        <v>13160</v>
      </c>
      <c r="F95" s="1074"/>
      <c r="H95" s="1081"/>
    </row>
    <row r="96" spans="1:8" s="1050" customFormat="1" ht="14.25" customHeight="1" thickBot="1">
      <c r="A96" s="1062" t="s">
        <v>1397</v>
      </c>
      <c r="B96" s="1056" t="s">
        <v>1268</v>
      </c>
      <c r="C96" s="1056">
        <v>13200</v>
      </c>
      <c r="D96" s="1056">
        <v>13150</v>
      </c>
      <c r="E96" s="1056">
        <v>12900</v>
      </c>
      <c r="F96" s="1074"/>
      <c r="H96" s="1081"/>
    </row>
    <row r="97" spans="1:8" s="1050" customFormat="1" ht="14.25" customHeight="1" thickBot="1">
      <c r="A97" s="1062" t="s">
        <v>1397</v>
      </c>
      <c r="B97" s="1056" t="s">
        <v>1276</v>
      </c>
      <c r="C97" s="1056">
        <v>13270</v>
      </c>
      <c r="D97" s="1056">
        <v>13210</v>
      </c>
      <c r="E97" s="1056">
        <v>11080</v>
      </c>
      <c r="F97" s="1074"/>
      <c r="H97" s="1081"/>
    </row>
    <row r="98" spans="1:8" s="1050" customFormat="1" ht="14.25" customHeight="1" thickBot="1">
      <c r="A98" s="1062" t="s">
        <v>1397</v>
      </c>
      <c r="B98" s="1056" t="s">
        <v>1283</v>
      </c>
      <c r="C98" s="1056">
        <v>13010</v>
      </c>
      <c r="D98" s="1056">
        <v>12930</v>
      </c>
      <c r="E98" s="1056">
        <v>12840</v>
      </c>
      <c r="F98" s="1074"/>
      <c r="H98" s="1081"/>
    </row>
    <row r="99" spans="1:8" s="1050" customFormat="1" ht="14.25" customHeight="1" thickBot="1">
      <c r="A99" s="1062" t="s">
        <v>1397</v>
      </c>
      <c r="B99" s="1056" t="s">
        <v>1290</v>
      </c>
      <c r="C99" s="1056">
        <v>11190</v>
      </c>
      <c r="D99" s="1056">
        <v>11130</v>
      </c>
      <c r="E99" s="1056"/>
      <c r="F99" s="1074"/>
      <c r="H99" s="1081"/>
    </row>
    <row r="100" spans="1:8" s="1050" customFormat="1" ht="14.25" customHeight="1" thickBot="1">
      <c r="A100" s="1062" t="s">
        <v>1397</v>
      </c>
      <c r="B100" s="1056" t="s">
        <v>1297</v>
      </c>
      <c r="C100" s="1056">
        <v>14280</v>
      </c>
      <c r="D100" s="1056">
        <v>14180</v>
      </c>
      <c r="E100" s="1056"/>
      <c r="F100" s="1074"/>
      <c r="H100" s="1081"/>
    </row>
    <row r="101" spans="1:8" s="1050" customFormat="1" ht="14.25" customHeight="1" thickBot="1">
      <c r="A101" s="1062" t="s">
        <v>1397</v>
      </c>
      <c r="B101" s="1056" t="s">
        <v>1304</v>
      </c>
      <c r="C101" s="1056">
        <v>12960</v>
      </c>
      <c r="D101" s="1056">
        <v>12890</v>
      </c>
      <c r="E101" s="1056"/>
      <c r="F101" s="1074"/>
      <c r="H101" s="1081"/>
    </row>
    <row r="102" spans="1:8" s="1050" customFormat="1" ht="14.25" customHeight="1" thickBot="1">
      <c r="A102" s="1062" t="s">
        <v>1397</v>
      </c>
      <c r="B102" s="1056" t="s">
        <v>1311</v>
      </c>
      <c r="C102" s="1056"/>
      <c r="D102" s="1056"/>
      <c r="E102" s="1056"/>
      <c r="F102" s="1074">
        <v>3100</v>
      </c>
      <c r="H102" s="1081"/>
    </row>
    <row r="103" spans="1:8" s="1050" customFormat="1" ht="14.25" customHeight="1" thickBot="1">
      <c r="A103" s="1062" t="s">
        <v>1397</v>
      </c>
      <c r="B103" s="1056" t="s">
        <v>1318</v>
      </c>
      <c r="C103" s="1056"/>
      <c r="D103" s="1056"/>
      <c r="E103" s="1056"/>
      <c r="F103" s="1074">
        <v>2320</v>
      </c>
      <c r="H103" s="1081"/>
    </row>
    <row r="104" spans="1:8" s="1050" customFormat="1" ht="14.25" customHeight="1" thickBot="1">
      <c r="A104" s="1062" t="s">
        <v>1397</v>
      </c>
      <c r="B104" s="1056" t="s">
        <v>1323</v>
      </c>
      <c r="C104" s="1056"/>
      <c r="D104" s="1056"/>
      <c r="E104" s="1056"/>
      <c r="F104" s="1074">
        <v>2320</v>
      </c>
      <c r="H104" s="1081"/>
    </row>
    <row r="105" spans="1:8" s="1050" customFormat="1" ht="14.25" customHeight="1" thickBot="1">
      <c r="A105" s="1062" t="s">
        <v>1397</v>
      </c>
      <c r="B105" s="1056" t="s">
        <v>1327</v>
      </c>
      <c r="C105" s="1056"/>
      <c r="D105" s="1056"/>
      <c r="E105" s="1056"/>
      <c r="F105" s="1074">
        <v>2320</v>
      </c>
      <c r="H105" s="1081"/>
    </row>
    <row r="106" spans="1:8" s="1050" customFormat="1" ht="14.25" customHeight="1" thickBot="1">
      <c r="A106" s="1062" t="s">
        <v>1397</v>
      </c>
      <c r="B106" s="1056" t="s">
        <v>1332</v>
      </c>
      <c r="C106" s="1056"/>
      <c r="D106" s="1056"/>
      <c r="E106" s="1056"/>
      <c r="F106" s="1074">
        <v>2320</v>
      </c>
      <c r="H106" s="1081"/>
    </row>
    <row r="107" spans="1:8" s="1050" customFormat="1" ht="14.25" customHeight="1" thickBot="1">
      <c r="A107" s="1062" t="s">
        <v>1397</v>
      </c>
      <c r="B107" s="1056" t="s">
        <v>1337</v>
      </c>
      <c r="C107" s="1056"/>
      <c r="D107" s="1056"/>
      <c r="E107" s="1056"/>
      <c r="F107" s="1074">
        <v>2280</v>
      </c>
      <c r="H107" s="1081"/>
    </row>
    <row r="108" spans="1:8" s="1050" customFormat="1" ht="14.25" customHeight="1" thickBot="1">
      <c r="A108" s="1062" t="s">
        <v>1397</v>
      </c>
      <c r="B108" s="1056" t="s">
        <v>1342</v>
      </c>
      <c r="C108" s="1056"/>
      <c r="D108" s="1056"/>
      <c r="E108" s="1056"/>
      <c r="F108" s="1074">
        <v>2280</v>
      </c>
      <c r="H108" s="1081"/>
    </row>
    <row r="109" spans="1:8" s="1050" customFormat="1" ht="14.25" customHeight="1" thickBot="1">
      <c r="A109" s="1062" t="s">
        <v>1397</v>
      </c>
      <c r="B109" s="1072" t="s">
        <v>1347</v>
      </c>
      <c r="C109" s="1072"/>
      <c r="D109" s="1072"/>
      <c r="E109" s="1072"/>
      <c r="F109" s="1082">
        <v>2280</v>
      </c>
      <c r="H109" s="1081"/>
    </row>
    <row r="110" spans="1:8" s="1050" customFormat="1" ht="14.25" customHeight="1" thickBot="1">
      <c r="A110" s="1062" t="s">
        <v>1399</v>
      </c>
      <c r="B110" s="1063" t="s">
        <v>1400</v>
      </c>
      <c r="C110" s="1063">
        <v>10520</v>
      </c>
      <c r="D110" s="1063">
        <v>10490</v>
      </c>
      <c r="E110" s="1063">
        <v>10760</v>
      </c>
      <c r="F110" s="1064">
        <v>2160</v>
      </c>
      <c r="H110" s="1081"/>
    </row>
    <row r="111" spans="1:8" s="1050" customFormat="1" ht="14.25" customHeight="1" thickBot="1">
      <c r="A111" s="1062" t="s">
        <v>1399</v>
      </c>
      <c r="B111" s="1056" t="s">
        <v>1065</v>
      </c>
      <c r="C111" s="1056">
        <v>10090</v>
      </c>
      <c r="D111" s="1056">
        <v>10060</v>
      </c>
      <c r="E111" s="1056">
        <v>10300</v>
      </c>
      <c r="F111" s="1074">
        <v>2010</v>
      </c>
      <c r="H111" s="1081"/>
    </row>
    <row r="112" spans="1:8" s="1050" customFormat="1" ht="14.25" customHeight="1" thickBot="1">
      <c r="A112" s="1062" t="s">
        <v>1399</v>
      </c>
      <c r="B112" s="1056" t="s">
        <v>1079</v>
      </c>
      <c r="C112" s="1056">
        <v>9910</v>
      </c>
      <c r="D112" s="1056">
        <v>9850</v>
      </c>
      <c r="E112" s="1056">
        <v>9960</v>
      </c>
      <c r="F112" s="1074">
        <v>2090</v>
      </c>
      <c r="H112" s="1081"/>
    </row>
    <row r="113" spans="1:8" s="1050" customFormat="1" ht="14.25" customHeight="1" thickBot="1">
      <c r="A113" s="1062" t="s">
        <v>1399</v>
      </c>
      <c r="B113" s="1056" t="s">
        <v>1092</v>
      </c>
      <c r="C113" s="1056">
        <v>11430</v>
      </c>
      <c r="D113" s="1056">
        <v>11400</v>
      </c>
      <c r="E113" s="1056">
        <v>11710</v>
      </c>
      <c r="F113" s="1074">
        <v>2050</v>
      </c>
      <c r="H113" s="1081"/>
    </row>
    <row r="114" spans="1:8" s="1050" customFormat="1" ht="14.25" customHeight="1" thickBot="1">
      <c r="A114" s="1062" t="s">
        <v>1399</v>
      </c>
      <c r="B114" s="1056" t="s">
        <v>1106</v>
      </c>
      <c r="C114" s="1056">
        <v>11390</v>
      </c>
      <c r="D114" s="1056">
        <v>11350</v>
      </c>
      <c r="E114" s="1056">
        <v>11640</v>
      </c>
      <c r="F114" s="1074">
        <v>1620</v>
      </c>
      <c r="H114" s="1081"/>
    </row>
    <row r="115" spans="1:8" s="1050" customFormat="1" ht="14.25" customHeight="1" thickBot="1">
      <c r="A115" s="1062" t="s">
        <v>1399</v>
      </c>
      <c r="B115" s="1056" t="s">
        <v>1117</v>
      </c>
      <c r="C115" s="1056">
        <v>9930</v>
      </c>
      <c r="D115" s="1056">
        <v>9900</v>
      </c>
      <c r="E115" s="1056">
        <v>10160</v>
      </c>
      <c r="F115" s="1074">
        <v>1580</v>
      </c>
      <c r="H115" s="1081"/>
    </row>
    <row r="116" spans="1:8" s="1050" customFormat="1" ht="14.25" customHeight="1" thickBot="1">
      <c r="A116" s="1062" t="s">
        <v>1399</v>
      </c>
      <c r="B116" s="1056" t="s">
        <v>1128</v>
      </c>
      <c r="C116" s="1056">
        <v>9150</v>
      </c>
      <c r="D116" s="1056">
        <v>9120</v>
      </c>
      <c r="E116" s="1056">
        <v>9380</v>
      </c>
      <c r="F116" s="1074">
        <v>1750</v>
      </c>
      <c r="H116" s="1081"/>
    </row>
    <row r="117" spans="1:8" s="1050" customFormat="1" ht="14.25" customHeight="1" thickBot="1">
      <c r="A117" s="1062" t="s">
        <v>1399</v>
      </c>
      <c r="B117" s="1056" t="s">
        <v>1139</v>
      </c>
      <c r="C117" s="1056">
        <v>10680</v>
      </c>
      <c r="D117" s="1056">
        <v>10650</v>
      </c>
      <c r="E117" s="1056">
        <v>10970</v>
      </c>
      <c r="F117" s="1074">
        <v>1730</v>
      </c>
      <c r="H117" s="1081"/>
    </row>
    <row r="118" spans="1:8" s="1050" customFormat="1" ht="14.25" customHeight="1" thickBot="1">
      <c r="A118" s="1062" t="s">
        <v>1399</v>
      </c>
      <c r="B118" s="1056" t="s">
        <v>1151</v>
      </c>
      <c r="C118" s="1056">
        <v>10080</v>
      </c>
      <c r="D118" s="1056">
        <v>10050</v>
      </c>
      <c r="E118" s="1056">
        <v>10350</v>
      </c>
      <c r="F118" s="1074">
        <v>1920</v>
      </c>
      <c r="H118" s="1081"/>
    </row>
    <row r="119" spans="1:8" s="1050" customFormat="1" ht="14.25" customHeight="1" thickBot="1">
      <c r="A119" s="1062" t="s">
        <v>1399</v>
      </c>
      <c r="B119" s="1056" t="s">
        <v>1161</v>
      </c>
      <c r="C119" s="1056">
        <v>9450</v>
      </c>
      <c r="D119" s="1056">
        <v>9410</v>
      </c>
      <c r="E119" s="1056">
        <v>9680</v>
      </c>
      <c r="F119" s="1074">
        <v>1880</v>
      </c>
      <c r="H119" s="1081"/>
    </row>
    <row r="120" spans="1:8" s="1050" customFormat="1" ht="14.25" customHeight="1" thickBot="1">
      <c r="A120" s="1062" t="s">
        <v>1399</v>
      </c>
      <c r="B120" s="1056" t="s">
        <v>1171</v>
      </c>
      <c r="C120" s="1056">
        <v>8730</v>
      </c>
      <c r="D120" s="1056">
        <v>8700</v>
      </c>
      <c r="E120" s="1056">
        <v>8950</v>
      </c>
      <c r="F120" s="1074">
        <v>1830</v>
      </c>
      <c r="H120" s="1081"/>
    </row>
    <row r="121" spans="1:8" s="1050" customFormat="1" ht="14.25" customHeight="1" thickBot="1">
      <c r="A121" s="1062" t="s">
        <v>1399</v>
      </c>
      <c r="B121" s="1056" t="s">
        <v>1181</v>
      </c>
      <c r="C121" s="1056">
        <v>10070</v>
      </c>
      <c r="D121" s="1056">
        <v>10040</v>
      </c>
      <c r="E121" s="1056">
        <v>10270</v>
      </c>
      <c r="F121" s="1074">
        <v>1960</v>
      </c>
      <c r="H121" s="1081"/>
    </row>
    <row r="122" spans="1:8" s="1050" customFormat="1" ht="14.25" customHeight="1" thickBot="1">
      <c r="A122" s="1062" t="s">
        <v>1399</v>
      </c>
      <c r="B122" s="1056" t="s">
        <v>1191</v>
      </c>
      <c r="C122" s="1056">
        <v>10500</v>
      </c>
      <c r="D122" s="1056">
        <v>10470</v>
      </c>
      <c r="E122" s="1056">
        <v>10780</v>
      </c>
      <c r="F122" s="1074">
        <v>2180</v>
      </c>
      <c r="H122" s="1081"/>
    </row>
    <row r="123" spans="1:8" s="1050" customFormat="1" ht="14.25" customHeight="1" thickBot="1">
      <c r="A123" s="1062" t="s">
        <v>1399</v>
      </c>
      <c r="B123" s="1056" t="s">
        <v>1201</v>
      </c>
      <c r="C123" s="1056">
        <v>10390</v>
      </c>
      <c r="D123" s="1056">
        <v>10360</v>
      </c>
      <c r="E123" s="1056">
        <v>10660</v>
      </c>
      <c r="F123" s="1074">
        <v>2040</v>
      </c>
      <c r="H123" s="1081"/>
    </row>
    <row r="124" spans="1:8" s="1050" customFormat="1" ht="14.25" customHeight="1" thickBot="1">
      <c r="A124" s="1062" t="s">
        <v>1399</v>
      </c>
      <c r="B124" s="1056" t="s">
        <v>1211</v>
      </c>
      <c r="C124" s="1056">
        <v>10390</v>
      </c>
      <c r="D124" s="1056">
        <v>10360</v>
      </c>
      <c r="E124" s="1056">
        <v>10680</v>
      </c>
      <c r="F124" s="1083"/>
      <c r="H124" s="1081"/>
    </row>
    <row r="125" spans="1:8" s="1050" customFormat="1" ht="14.25" customHeight="1" thickBot="1">
      <c r="A125" s="1062" t="s">
        <v>1399</v>
      </c>
      <c r="B125" s="1056" t="s">
        <v>1221</v>
      </c>
      <c r="C125" s="1056">
        <v>10440</v>
      </c>
      <c r="D125" s="1056">
        <v>10410</v>
      </c>
      <c r="E125" s="1056">
        <v>10710</v>
      </c>
      <c r="F125" s="1083"/>
      <c r="H125" s="1081"/>
    </row>
    <row r="126" spans="1:8" s="1050" customFormat="1" ht="14.25" customHeight="1" thickBot="1">
      <c r="A126" s="1062" t="s">
        <v>1399</v>
      </c>
      <c r="B126" s="1056" t="s">
        <v>1231</v>
      </c>
      <c r="C126" s="1056">
        <v>10780</v>
      </c>
      <c r="D126" s="1056">
        <v>10750</v>
      </c>
      <c r="E126" s="1056">
        <v>11080</v>
      </c>
      <c r="F126" s="1083"/>
      <c r="H126" s="1081"/>
    </row>
    <row r="127" spans="1:8" s="1050" customFormat="1" ht="14.25" customHeight="1" thickBot="1">
      <c r="A127" s="1062" t="s">
        <v>1399</v>
      </c>
      <c r="B127" s="1056" t="s">
        <v>1241</v>
      </c>
      <c r="C127" s="1056">
        <v>10100</v>
      </c>
      <c r="D127" s="1056">
        <v>10070</v>
      </c>
      <c r="E127" s="1056">
        <v>10350</v>
      </c>
      <c r="F127" s="1083"/>
      <c r="H127" s="1081"/>
    </row>
    <row r="128" spans="1:8" s="1050" customFormat="1" ht="14.25" customHeight="1" thickBot="1">
      <c r="A128" s="1062" t="s">
        <v>1399</v>
      </c>
      <c r="B128" s="1056" t="s">
        <v>1251</v>
      </c>
      <c r="C128" s="1056">
        <v>9200</v>
      </c>
      <c r="D128" s="1056">
        <v>9160</v>
      </c>
      <c r="E128" s="1056">
        <v>9660</v>
      </c>
      <c r="F128" s="1083"/>
      <c r="H128" s="1081"/>
    </row>
    <row r="129" spans="1:8" s="1050" customFormat="1" ht="14.25" customHeight="1" thickBot="1">
      <c r="A129" s="1062" t="s">
        <v>1399</v>
      </c>
      <c r="B129" s="1056" t="s">
        <v>1260</v>
      </c>
      <c r="C129" s="1056">
        <v>10340</v>
      </c>
      <c r="D129" s="1056">
        <v>10310</v>
      </c>
      <c r="E129" s="1056">
        <v>10580</v>
      </c>
      <c r="F129" s="1083"/>
      <c r="H129" s="1081"/>
    </row>
    <row r="130" spans="1:8" s="1050" customFormat="1" ht="14.25" customHeight="1" thickBot="1">
      <c r="A130" s="1062" t="s">
        <v>1399</v>
      </c>
      <c r="B130" s="1056" t="s">
        <v>1269</v>
      </c>
      <c r="C130" s="1056">
        <v>9680</v>
      </c>
      <c r="D130" s="1056">
        <v>9660</v>
      </c>
      <c r="E130" s="1056">
        <v>9950</v>
      </c>
      <c r="F130" s="1083"/>
      <c r="H130" s="1081"/>
    </row>
    <row r="131" spans="1:8" s="1050" customFormat="1" ht="14.25" customHeight="1" thickBot="1">
      <c r="A131" s="1062" t="s">
        <v>1399</v>
      </c>
      <c r="B131" s="1056" t="s">
        <v>1277</v>
      </c>
      <c r="C131" s="1056">
        <v>9540</v>
      </c>
      <c r="D131" s="1056">
        <v>9510</v>
      </c>
      <c r="E131" s="1056">
        <v>9790</v>
      </c>
      <c r="F131" s="1083"/>
      <c r="H131" s="1081"/>
    </row>
    <row r="132" spans="1:8" s="1050" customFormat="1" ht="14.25" customHeight="1" thickBot="1">
      <c r="A132" s="1062" t="s">
        <v>1399</v>
      </c>
      <c r="B132" s="1056" t="s">
        <v>1284</v>
      </c>
      <c r="C132" s="1056">
        <v>9320</v>
      </c>
      <c r="D132" s="1056">
        <v>9290</v>
      </c>
      <c r="E132" s="1056">
        <v>9570</v>
      </c>
      <c r="F132" s="1083"/>
      <c r="H132" s="1081"/>
    </row>
    <row r="133" spans="1:8" s="1050" customFormat="1" ht="14.25" customHeight="1" thickBot="1">
      <c r="A133" s="1062" t="s">
        <v>1399</v>
      </c>
      <c r="B133" s="1056" t="s">
        <v>1291</v>
      </c>
      <c r="C133" s="1056">
        <v>10310</v>
      </c>
      <c r="D133" s="1056">
        <v>10280</v>
      </c>
      <c r="E133" s="1056">
        <v>10530</v>
      </c>
      <c r="F133" s="1083"/>
      <c r="H133" s="1081"/>
    </row>
    <row r="134" spans="1:8" s="1050" customFormat="1" ht="14.25" customHeight="1" thickBot="1">
      <c r="A134" s="1062" t="s">
        <v>1399</v>
      </c>
      <c r="B134" s="1056" t="s">
        <v>1298</v>
      </c>
      <c r="C134" s="1056">
        <v>10370</v>
      </c>
      <c r="D134" s="1056">
        <v>10310</v>
      </c>
      <c r="E134" s="1056">
        <v>10240</v>
      </c>
      <c r="F134" s="1074">
        <v>2060</v>
      </c>
      <c r="H134" s="1081"/>
    </row>
    <row r="135" spans="1:8" s="1050" customFormat="1" ht="14.25" customHeight="1" thickBot="1">
      <c r="A135" s="1062" t="s">
        <v>1399</v>
      </c>
      <c r="B135" s="1056" t="s">
        <v>1305</v>
      </c>
      <c r="C135" s="1056">
        <v>9300</v>
      </c>
      <c r="D135" s="1056">
        <v>9270</v>
      </c>
      <c r="E135" s="1056">
        <v>9350</v>
      </c>
      <c r="F135" s="1083"/>
      <c r="H135" s="1081"/>
    </row>
    <row r="136" spans="1:8" s="1050" customFormat="1" ht="14.25" customHeight="1" thickBot="1">
      <c r="A136" s="1062" t="s">
        <v>1399</v>
      </c>
      <c r="B136" s="1056" t="s">
        <v>1312</v>
      </c>
      <c r="C136" s="1056">
        <v>10160</v>
      </c>
      <c r="D136" s="1056">
        <v>10110</v>
      </c>
      <c r="E136" s="1056">
        <v>10080</v>
      </c>
      <c r="F136" s="1083"/>
      <c r="H136" s="1081"/>
    </row>
    <row r="137" spans="1:8" s="1050" customFormat="1" ht="14.25" customHeight="1" thickBot="1">
      <c r="A137" s="1062" t="s">
        <v>1399</v>
      </c>
      <c r="B137" s="1056" t="s">
        <v>1319</v>
      </c>
      <c r="C137" s="1056">
        <v>9200</v>
      </c>
      <c r="D137" s="1056">
        <v>9170</v>
      </c>
      <c r="E137" s="1056">
        <v>9450</v>
      </c>
      <c r="F137" s="1083"/>
      <c r="H137" s="1081"/>
    </row>
    <row r="138" spans="1:8" s="1050" customFormat="1" ht="14.25" customHeight="1" thickBot="1">
      <c r="A138" s="1062" t="s">
        <v>1399</v>
      </c>
      <c r="B138" s="1056" t="s">
        <v>1324</v>
      </c>
      <c r="C138" s="1056">
        <v>9690</v>
      </c>
      <c r="D138" s="1056">
        <v>9660</v>
      </c>
      <c r="E138" s="1056">
        <v>9840</v>
      </c>
      <c r="F138" s="1083"/>
      <c r="H138" s="1081"/>
    </row>
    <row r="139" spans="1:8" s="1050" customFormat="1" ht="14.25" customHeight="1" thickBot="1">
      <c r="A139" s="1062" t="s">
        <v>1399</v>
      </c>
      <c r="B139" s="1056" t="s">
        <v>1328</v>
      </c>
      <c r="C139" s="1056">
        <v>10290</v>
      </c>
      <c r="D139" s="1056">
        <v>10260</v>
      </c>
      <c r="E139" s="1056">
        <v>10550</v>
      </c>
      <c r="F139" s="1074">
        <v>1700</v>
      </c>
      <c r="H139" s="1081"/>
    </row>
    <row r="140" spans="1:8" s="1050" customFormat="1" ht="14.25" customHeight="1" thickBot="1">
      <c r="A140" s="1062" t="s">
        <v>1399</v>
      </c>
      <c r="B140" s="1056" t="s">
        <v>1333</v>
      </c>
      <c r="C140" s="1056">
        <v>9740</v>
      </c>
      <c r="D140" s="1056">
        <v>9710</v>
      </c>
      <c r="E140" s="1056">
        <v>10000</v>
      </c>
      <c r="F140" s="1074">
        <v>2000</v>
      </c>
      <c r="H140" s="1081"/>
    </row>
    <row r="141" spans="1:8" s="1050" customFormat="1" ht="14.25" customHeight="1" thickBot="1">
      <c r="A141" s="1062" t="s">
        <v>1399</v>
      </c>
      <c r="B141" s="1056" t="s">
        <v>1338</v>
      </c>
      <c r="C141" s="1056">
        <v>9810</v>
      </c>
      <c r="D141" s="1056">
        <v>9770</v>
      </c>
      <c r="E141" s="1056">
        <v>10060</v>
      </c>
      <c r="F141" s="1083"/>
      <c r="H141" s="1081"/>
    </row>
    <row r="142" spans="1:8" s="1050" customFormat="1" ht="14.25" customHeight="1" thickBot="1">
      <c r="A142" s="1062" t="s">
        <v>1399</v>
      </c>
      <c r="B142" s="1056" t="s">
        <v>1343</v>
      </c>
      <c r="C142" s="1056">
        <v>9300</v>
      </c>
      <c r="D142" s="1056">
        <v>9270</v>
      </c>
      <c r="E142" s="1056">
        <v>9530</v>
      </c>
      <c r="F142" s="1083"/>
      <c r="H142" s="1081"/>
    </row>
    <row r="143" spans="1:8" s="1050" customFormat="1" ht="14.25" customHeight="1" thickBot="1">
      <c r="A143" s="1062" t="s">
        <v>1399</v>
      </c>
      <c r="B143" s="1056" t="s">
        <v>1348</v>
      </c>
      <c r="C143" s="1056">
        <v>10080</v>
      </c>
      <c r="D143" s="1056">
        <v>10050</v>
      </c>
      <c r="E143" s="1056">
        <v>10340</v>
      </c>
      <c r="F143" s="1083"/>
      <c r="H143" s="1081"/>
    </row>
    <row r="144" spans="1:8" s="1050" customFormat="1" ht="14.25" customHeight="1" thickBot="1">
      <c r="A144" s="1062" t="s">
        <v>1399</v>
      </c>
      <c r="B144" s="1056" t="s">
        <v>1352</v>
      </c>
      <c r="C144" s="1056">
        <v>9820</v>
      </c>
      <c r="D144" s="1056">
        <v>9750</v>
      </c>
      <c r="E144" s="1056">
        <v>9900</v>
      </c>
      <c r="F144" s="1083"/>
      <c r="H144" s="1081"/>
    </row>
    <row r="145" spans="1:8" s="1050" customFormat="1" ht="14.25" customHeight="1" thickBot="1">
      <c r="A145" s="1062" t="s">
        <v>1399</v>
      </c>
      <c r="B145" s="1056" t="s">
        <v>1356</v>
      </c>
      <c r="C145" s="1056"/>
      <c r="D145" s="1056"/>
      <c r="E145" s="1056"/>
      <c r="F145" s="1074">
        <v>1740</v>
      </c>
      <c r="H145" s="1081"/>
    </row>
    <row r="146" spans="1:8" s="1050" customFormat="1" ht="14.25" customHeight="1" thickBot="1">
      <c r="A146" s="1062" t="s">
        <v>1399</v>
      </c>
      <c r="B146" s="1056" t="s">
        <v>1360</v>
      </c>
      <c r="C146" s="1056"/>
      <c r="D146" s="1056"/>
      <c r="E146" s="1056"/>
      <c r="F146" s="1074">
        <v>1740</v>
      </c>
      <c r="H146" s="1081"/>
    </row>
    <row r="147" spans="1:8" s="1050" customFormat="1" ht="14.25" customHeight="1" thickBot="1">
      <c r="A147" s="1062" t="s">
        <v>1399</v>
      </c>
      <c r="B147" s="1056" t="s">
        <v>1364</v>
      </c>
      <c r="C147" s="1056"/>
      <c r="D147" s="1056"/>
      <c r="E147" s="1056"/>
      <c r="F147" s="1074">
        <v>1740</v>
      </c>
      <c r="H147" s="1081"/>
    </row>
    <row r="148" spans="1:8" s="1050" customFormat="1" ht="14.25" customHeight="1" thickBot="1">
      <c r="A148" s="1062" t="s">
        <v>1399</v>
      </c>
      <c r="B148" s="1056" t="s">
        <v>1368</v>
      </c>
      <c r="C148" s="1056"/>
      <c r="D148" s="1056"/>
      <c r="E148" s="1056"/>
      <c r="F148" s="1074">
        <v>1740</v>
      </c>
      <c r="H148" s="1081"/>
    </row>
    <row r="149" spans="1:8" s="1050" customFormat="1" ht="14.25" customHeight="1" thickBot="1">
      <c r="A149" s="1062" t="s">
        <v>1399</v>
      </c>
      <c r="B149" s="1056" t="s">
        <v>1372</v>
      </c>
      <c r="C149" s="1056"/>
      <c r="D149" s="1056"/>
      <c r="E149" s="1056"/>
      <c r="F149" s="1074">
        <v>1740</v>
      </c>
      <c r="H149" s="1081"/>
    </row>
    <row r="150" spans="1:8" s="1050" customFormat="1" ht="14.25" customHeight="1" thickBot="1">
      <c r="A150" s="1062" t="s">
        <v>1399</v>
      </c>
      <c r="B150" s="1056" t="s">
        <v>1375</v>
      </c>
      <c r="C150" s="1056"/>
      <c r="D150" s="1056"/>
      <c r="E150" s="1056"/>
      <c r="F150" s="1074">
        <v>1610</v>
      </c>
      <c r="H150" s="1081"/>
    </row>
    <row r="151" spans="1:8" s="1050" customFormat="1" ht="14.25" customHeight="1" thickBot="1">
      <c r="A151" s="1062" t="s">
        <v>1399</v>
      </c>
      <c r="B151" s="1056" t="s">
        <v>1378</v>
      </c>
      <c r="C151" s="1056"/>
      <c r="D151" s="1056"/>
      <c r="E151" s="1056"/>
      <c r="F151" s="1074">
        <v>1610</v>
      </c>
      <c r="H151" s="1081"/>
    </row>
    <row r="152" spans="1:8" s="1050" customFormat="1" ht="14.25" customHeight="1" thickBot="1">
      <c r="A152" s="1062" t="s">
        <v>1399</v>
      </c>
      <c r="B152" s="1056" t="s">
        <v>1381</v>
      </c>
      <c r="C152" s="1056"/>
      <c r="D152" s="1056"/>
      <c r="E152" s="1056"/>
      <c r="F152" s="1074">
        <v>1610</v>
      </c>
      <c r="H152" s="1081"/>
    </row>
    <row r="153" spans="1:8" s="1050" customFormat="1" ht="14.25" customHeight="1" thickBot="1">
      <c r="A153" s="1062" t="s">
        <v>1399</v>
      </c>
      <c r="B153" s="1056" t="s">
        <v>1384</v>
      </c>
      <c r="C153" s="1056"/>
      <c r="D153" s="1056"/>
      <c r="E153" s="1056"/>
      <c r="F153" s="1074">
        <v>1610</v>
      </c>
      <c r="H153" s="1081"/>
    </row>
    <row r="154" spans="1:8" s="1050" customFormat="1" ht="14.25" customHeight="1" thickBot="1">
      <c r="A154" s="1062" t="s">
        <v>1399</v>
      </c>
      <c r="B154" s="1056" t="s">
        <v>1387</v>
      </c>
      <c r="C154" s="1056"/>
      <c r="D154" s="1056"/>
      <c r="E154" s="1056"/>
      <c r="F154" s="1074">
        <v>1610</v>
      </c>
      <c r="H154" s="1081"/>
    </row>
    <row r="155" spans="1:8" s="1050" customFormat="1" ht="14.25" customHeight="1" thickBot="1">
      <c r="A155" s="1062" t="s">
        <v>1399</v>
      </c>
      <c r="B155" s="1056" t="s">
        <v>1390</v>
      </c>
      <c r="C155" s="1056"/>
      <c r="D155" s="1056"/>
      <c r="E155" s="1056"/>
      <c r="F155" s="1074">
        <v>1800</v>
      </c>
      <c r="H155" s="1081"/>
    </row>
    <row r="156" spans="1:8" s="1050" customFormat="1" ht="14.25" customHeight="1" thickBot="1">
      <c r="A156" s="1062" t="s">
        <v>1399</v>
      </c>
      <c r="B156" s="1056" t="s">
        <v>1392</v>
      </c>
      <c r="C156" s="1056"/>
      <c r="D156" s="1056"/>
      <c r="E156" s="1056"/>
      <c r="F156" s="1074">
        <v>1910</v>
      </c>
      <c r="H156" s="1081"/>
    </row>
    <row r="157" spans="1:8" s="1050" customFormat="1" ht="14.25" customHeight="1" thickBot="1">
      <c r="A157" s="1062" t="s">
        <v>1399</v>
      </c>
      <c r="B157" s="1072" t="s">
        <v>1395</v>
      </c>
      <c r="C157" s="1072"/>
      <c r="D157" s="1072"/>
      <c r="E157" s="1072"/>
      <c r="F157" s="1082">
        <v>1500</v>
      </c>
      <c r="H157" s="1081"/>
    </row>
    <row r="158" spans="1:8" s="1050" customFormat="1" ht="14.25" customHeight="1" thickBot="1">
      <c r="A158" s="1062" t="s">
        <v>1401</v>
      </c>
      <c r="B158" s="1063" t="s">
        <v>1402</v>
      </c>
      <c r="C158" s="1063">
        <v>8170</v>
      </c>
      <c r="D158" s="1063">
        <v>8140</v>
      </c>
      <c r="E158" s="1063">
        <v>8590</v>
      </c>
      <c r="F158" s="1064">
        <v>1450</v>
      </c>
      <c r="H158" s="1081"/>
    </row>
    <row r="159" spans="1:8" s="1050" customFormat="1" ht="14.25" customHeight="1" thickBot="1">
      <c r="A159" s="1062" t="s">
        <v>1401</v>
      </c>
      <c r="B159" s="1056" t="s">
        <v>1066</v>
      </c>
      <c r="C159" s="1056">
        <v>7410</v>
      </c>
      <c r="D159" s="1056">
        <v>7370</v>
      </c>
      <c r="E159" s="1056">
        <v>8030</v>
      </c>
      <c r="F159" s="1074">
        <v>1510</v>
      </c>
      <c r="H159" s="1081"/>
    </row>
    <row r="160" spans="1:8" s="1050" customFormat="1" ht="14.25" customHeight="1" thickBot="1">
      <c r="A160" s="1062" t="s">
        <v>1401</v>
      </c>
      <c r="B160" s="1056" t="s">
        <v>1080</v>
      </c>
      <c r="C160" s="1056">
        <v>7240</v>
      </c>
      <c r="D160" s="1056">
        <v>7210</v>
      </c>
      <c r="E160" s="1056">
        <v>7860</v>
      </c>
      <c r="F160" s="1074">
        <v>1370</v>
      </c>
      <c r="H160" s="1081"/>
    </row>
    <row r="161" spans="1:8" s="1050" customFormat="1" ht="14.25" customHeight="1" thickBot="1">
      <c r="A161" s="1062" t="s">
        <v>1401</v>
      </c>
      <c r="B161" s="1056" t="s">
        <v>1093</v>
      </c>
      <c r="C161" s="1056">
        <v>7720</v>
      </c>
      <c r="D161" s="1056">
        <v>7690</v>
      </c>
      <c r="E161" s="1056">
        <v>8200</v>
      </c>
      <c r="F161" s="1074">
        <v>1190</v>
      </c>
      <c r="H161" s="1081"/>
    </row>
    <row r="162" spans="1:8" s="1050" customFormat="1" ht="14.25" customHeight="1" thickBot="1">
      <c r="A162" s="1062" t="s">
        <v>1401</v>
      </c>
      <c r="B162" s="1056" t="s">
        <v>1107</v>
      </c>
      <c r="C162" s="1056">
        <v>6900</v>
      </c>
      <c r="D162" s="1056">
        <v>6870</v>
      </c>
      <c r="E162" s="1056">
        <v>7500</v>
      </c>
      <c r="F162" s="1074">
        <v>1390</v>
      </c>
      <c r="H162" s="1081"/>
    </row>
    <row r="163" spans="1:8" s="1050" customFormat="1" ht="14.25" customHeight="1" thickBot="1">
      <c r="A163" s="1062" t="s">
        <v>1401</v>
      </c>
      <c r="B163" s="1056" t="s">
        <v>1118</v>
      </c>
      <c r="C163" s="1056">
        <v>7120</v>
      </c>
      <c r="D163" s="1056">
        <v>7090</v>
      </c>
      <c r="E163" s="1056">
        <v>7690</v>
      </c>
      <c r="F163" s="1074">
        <v>1230</v>
      </c>
      <c r="H163" s="1081"/>
    </row>
    <row r="164" spans="1:8" s="1050" customFormat="1" ht="14.25" customHeight="1" thickBot="1">
      <c r="A164" s="1062" t="s">
        <v>1401</v>
      </c>
      <c r="B164" s="1056" t="s">
        <v>1129</v>
      </c>
      <c r="C164" s="1056">
        <v>6560</v>
      </c>
      <c r="D164" s="1056">
        <v>6530</v>
      </c>
      <c r="E164" s="1056">
        <v>7110</v>
      </c>
      <c r="F164" s="1074">
        <v>1340</v>
      </c>
      <c r="H164" s="1081"/>
    </row>
    <row r="165" spans="1:8" s="1050" customFormat="1" ht="14.25" customHeight="1" thickBot="1">
      <c r="A165" s="1062" t="s">
        <v>1401</v>
      </c>
      <c r="B165" s="1056" t="s">
        <v>1140</v>
      </c>
      <c r="C165" s="1056">
        <v>7450</v>
      </c>
      <c r="D165" s="1056">
        <v>7430</v>
      </c>
      <c r="E165" s="1056">
        <v>8110</v>
      </c>
      <c r="F165" s="1074">
        <v>1290</v>
      </c>
      <c r="H165" s="1081"/>
    </row>
    <row r="166" spans="1:8" s="1050" customFormat="1" ht="14.25" customHeight="1" thickBot="1">
      <c r="A166" s="1062" t="s">
        <v>1401</v>
      </c>
      <c r="B166" s="1056" t="s">
        <v>1152</v>
      </c>
      <c r="C166" s="1056">
        <v>7490</v>
      </c>
      <c r="D166" s="1056">
        <v>7460</v>
      </c>
      <c r="E166" s="1056">
        <v>8150</v>
      </c>
      <c r="F166" s="1074">
        <v>1350</v>
      </c>
      <c r="H166" s="1081"/>
    </row>
    <row r="167" spans="1:8" s="1050" customFormat="1" ht="14.25" customHeight="1" thickBot="1">
      <c r="A167" s="1062" t="s">
        <v>1401</v>
      </c>
      <c r="B167" s="1056" t="s">
        <v>1162</v>
      </c>
      <c r="C167" s="1056">
        <v>7540</v>
      </c>
      <c r="D167" s="1056">
        <v>7510</v>
      </c>
      <c r="E167" s="1056">
        <v>8030</v>
      </c>
      <c r="F167" s="1083"/>
      <c r="H167" s="1081"/>
    </row>
    <row r="168" spans="1:8" s="1050" customFormat="1" ht="14.25" customHeight="1" thickBot="1">
      <c r="A168" s="1062" t="s">
        <v>1401</v>
      </c>
      <c r="B168" s="1056" t="s">
        <v>1172</v>
      </c>
      <c r="C168" s="1056">
        <v>7210</v>
      </c>
      <c r="D168" s="1056">
        <v>7180</v>
      </c>
      <c r="E168" s="1056">
        <v>7830</v>
      </c>
      <c r="F168" s="1083"/>
      <c r="H168" s="1081"/>
    </row>
    <row r="169" spans="1:8" s="1050" customFormat="1" ht="14.25" customHeight="1" thickBot="1">
      <c r="A169" s="1062" t="s">
        <v>1401</v>
      </c>
      <c r="B169" s="1056" t="s">
        <v>1182</v>
      </c>
      <c r="C169" s="1056">
        <v>7040</v>
      </c>
      <c r="D169" s="1056">
        <v>7020</v>
      </c>
      <c r="E169" s="1056">
        <v>7670</v>
      </c>
      <c r="F169" s="1083"/>
      <c r="H169" s="1081"/>
    </row>
    <row r="170" spans="1:8" s="1050" customFormat="1" ht="14.25" customHeight="1" thickBot="1">
      <c r="A170" s="1062" t="s">
        <v>1401</v>
      </c>
      <c r="B170" s="1056" t="s">
        <v>1192</v>
      </c>
      <c r="C170" s="1056">
        <v>8040</v>
      </c>
      <c r="D170" s="1056">
        <v>7190</v>
      </c>
      <c r="E170" s="1056">
        <v>7850</v>
      </c>
      <c r="F170" s="1083"/>
      <c r="H170" s="1081"/>
    </row>
    <row r="171" spans="1:8" s="1050" customFormat="1" ht="14.25" customHeight="1" thickBot="1">
      <c r="A171" s="1062" t="s">
        <v>1401</v>
      </c>
      <c r="B171" s="1056" t="s">
        <v>1202</v>
      </c>
      <c r="C171" s="1056">
        <v>7860</v>
      </c>
      <c r="D171" s="1056">
        <v>7720</v>
      </c>
      <c r="E171" s="1056">
        <v>8150</v>
      </c>
      <c r="F171" s="1074">
        <v>1110</v>
      </c>
      <c r="H171" s="1081"/>
    </row>
    <row r="172" spans="1:8" s="1050" customFormat="1" ht="14.25" customHeight="1" thickBot="1">
      <c r="A172" s="1062" t="s">
        <v>1401</v>
      </c>
      <c r="B172" s="1056" t="s">
        <v>1212</v>
      </c>
      <c r="C172" s="1056">
        <v>7210</v>
      </c>
      <c r="D172" s="1056">
        <v>7170</v>
      </c>
      <c r="E172" s="1056">
        <v>7320</v>
      </c>
      <c r="F172" s="1083"/>
      <c r="H172" s="1081"/>
    </row>
    <row r="173" spans="1:8" s="1050" customFormat="1" ht="14.25" customHeight="1" thickBot="1">
      <c r="A173" s="1062" t="s">
        <v>1401</v>
      </c>
      <c r="B173" s="1056" t="s">
        <v>1222</v>
      </c>
      <c r="C173" s="1056">
        <v>6860</v>
      </c>
      <c r="D173" s="1056">
        <v>6810</v>
      </c>
      <c r="E173" s="1056">
        <v>7440</v>
      </c>
      <c r="F173" s="1083"/>
      <c r="H173" s="1081"/>
    </row>
    <row r="174" spans="1:8" s="1050" customFormat="1" ht="14.25" customHeight="1" thickBot="1">
      <c r="A174" s="1062" t="s">
        <v>1401</v>
      </c>
      <c r="B174" s="1056" t="s">
        <v>1232</v>
      </c>
      <c r="C174" s="1056">
        <v>7120</v>
      </c>
      <c r="D174" s="1056">
        <v>7090</v>
      </c>
      <c r="E174" s="1056">
        <v>7500</v>
      </c>
      <c r="F174" s="1074">
        <v>1490</v>
      </c>
      <c r="H174" s="1081"/>
    </row>
    <row r="175" spans="1:8" s="1050" customFormat="1" ht="14.25" customHeight="1" thickBot="1">
      <c r="A175" s="1062" t="s">
        <v>1401</v>
      </c>
      <c r="B175" s="1056" t="s">
        <v>1242</v>
      </c>
      <c r="C175" s="1056">
        <v>7850</v>
      </c>
      <c r="D175" s="1056">
        <v>7820</v>
      </c>
      <c r="E175" s="1056">
        <v>8120</v>
      </c>
      <c r="F175" s="1074">
        <v>1530</v>
      </c>
      <c r="H175" s="1081"/>
    </row>
    <row r="176" spans="1:8" s="1050" customFormat="1" ht="14.25" customHeight="1" thickBot="1">
      <c r="A176" s="1062" t="s">
        <v>1401</v>
      </c>
      <c r="B176" s="1056" t="s">
        <v>1252</v>
      </c>
      <c r="C176" s="1056">
        <v>7620</v>
      </c>
      <c r="D176" s="1056">
        <v>7570</v>
      </c>
      <c r="E176" s="1056">
        <v>7990</v>
      </c>
      <c r="F176" s="1074">
        <v>1480</v>
      </c>
      <c r="H176" s="1081"/>
    </row>
    <row r="177" spans="1:8" s="1050" customFormat="1" ht="14.25" customHeight="1" thickBot="1">
      <c r="A177" s="1062" t="s">
        <v>1401</v>
      </c>
      <c r="B177" s="1056" t="s">
        <v>1261</v>
      </c>
      <c r="C177" s="1056">
        <v>8590</v>
      </c>
      <c r="D177" s="1056">
        <v>8570</v>
      </c>
      <c r="E177" s="1056">
        <v>8740</v>
      </c>
      <c r="F177" s="1074">
        <v>1540</v>
      </c>
      <c r="H177" s="1081"/>
    </row>
    <row r="178" spans="1:8" s="1050" customFormat="1" ht="14.25" customHeight="1" thickBot="1">
      <c r="A178" s="1062" t="s">
        <v>1401</v>
      </c>
      <c r="B178" s="1056" t="s">
        <v>1270</v>
      </c>
      <c r="C178" s="1056">
        <v>7510</v>
      </c>
      <c r="D178" s="1056">
        <v>7470</v>
      </c>
      <c r="E178" s="1056">
        <v>8090</v>
      </c>
      <c r="F178" s="1074">
        <v>1320</v>
      </c>
      <c r="H178" s="1081"/>
    </row>
    <row r="179" spans="1:8" s="1050" customFormat="1" ht="14.25" customHeight="1" thickBot="1">
      <c r="A179" s="1062" t="s">
        <v>1401</v>
      </c>
      <c r="B179" s="1056" t="s">
        <v>1278</v>
      </c>
      <c r="C179" s="1056">
        <v>6380</v>
      </c>
      <c r="D179" s="1056">
        <v>6340</v>
      </c>
      <c r="E179" s="1056">
        <v>6810</v>
      </c>
      <c r="F179" s="1083"/>
      <c r="H179" s="1081"/>
    </row>
    <row r="180" spans="1:8" s="1050" customFormat="1" ht="14.25" customHeight="1" thickBot="1">
      <c r="A180" s="1062" t="s">
        <v>1401</v>
      </c>
      <c r="B180" s="1056" t="s">
        <v>1285</v>
      </c>
      <c r="C180" s="1056">
        <v>7830</v>
      </c>
      <c r="D180" s="1056">
        <v>7800</v>
      </c>
      <c r="E180" s="1056">
        <v>7780</v>
      </c>
      <c r="F180" s="1074">
        <v>1440</v>
      </c>
      <c r="H180" s="1081"/>
    </row>
    <row r="181" spans="1:8" s="1050" customFormat="1" ht="14.25" customHeight="1" thickBot="1">
      <c r="A181" s="1062" t="s">
        <v>1401</v>
      </c>
      <c r="B181" s="1056" t="s">
        <v>1292</v>
      </c>
      <c r="C181" s="1056">
        <v>7110</v>
      </c>
      <c r="D181" s="1056">
        <v>7080</v>
      </c>
      <c r="E181" s="1056">
        <v>7730</v>
      </c>
      <c r="F181" s="1074">
        <v>1350</v>
      </c>
      <c r="H181" s="1081"/>
    </row>
    <row r="182" spans="1:8" s="1050" customFormat="1" ht="14.25" customHeight="1" thickBot="1">
      <c r="A182" s="1062" t="s">
        <v>1401</v>
      </c>
      <c r="B182" s="1056" t="s">
        <v>1299</v>
      </c>
      <c r="C182" s="1056">
        <v>7310</v>
      </c>
      <c r="D182" s="1056">
        <v>7280</v>
      </c>
      <c r="E182" s="1056">
        <v>7950</v>
      </c>
      <c r="F182" s="1074">
        <v>1220</v>
      </c>
      <c r="H182" s="1081"/>
    </row>
    <row r="183" spans="1:8" s="1050" customFormat="1" ht="14.25" customHeight="1" thickBot="1">
      <c r="A183" s="1062" t="s">
        <v>1401</v>
      </c>
      <c r="B183" s="1056" t="s">
        <v>1306</v>
      </c>
      <c r="C183" s="1056">
        <v>7470</v>
      </c>
      <c r="D183" s="1056">
        <v>7440</v>
      </c>
      <c r="E183" s="1056">
        <v>7880</v>
      </c>
      <c r="F183" s="1083"/>
      <c r="H183" s="1081"/>
    </row>
    <row r="184" spans="1:8" s="1050" customFormat="1" ht="14.25" customHeight="1" thickBot="1">
      <c r="A184" s="1062" t="s">
        <v>1401</v>
      </c>
      <c r="B184" s="1056" t="s">
        <v>1313</v>
      </c>
      <c r="C184" s="1056">
        <v>6960</v>
      </c>
      <c r="D184" s="1056">
        <v>6930</v>
      </c>
      <c r="E184" s="1056">
        <v>7570</v>
      </c>
      <c r="F184" s="1083"/>
      <c r="H184" s="1081"/>
    </row>
    <row r="185" spans="1:8" s="1050" customFormat="1" ht="14.25" customHeight="1" thickBot="1">
      <c r="A185" s="1062" t="s">
        <v>1401</v>
      </c>
      <c r="B185" s="1056" t="s">
        <v>1320</v>
      </c>
      <c r="C185" s="1056">
        <v>7260</v>
      </c>
      <c r="D185" s="1056">
        <v>7230</v>
      </c>
      <c r="E185" s="1056">
        <v>7710</v>
      </c>
      <c r="F185" s="1074">
        <v>1360</v>
      </c>
      <c r="H185" s="1081"/>
    </row>
    <row r="186" spans="1:8" s="1050" customFormat="1" ht="14.25" customHeight="1" thickBot="1">
      <c r="A186" s="1062" t="s">
        <v>1401</v>
      </c>
      <c r="B186" s="1056" t="s">
        <v>1325</v>
      </c>
      <c r="C186" s="1056"/>
      <c r="D186" s="1056"/>
      <c r="E186" s="1056"/>
      <c r="F186" s="1074">
        <v>1560</v>
      </c>
      <c r="H186" s="1081"/>
    </row>
    <row r="187" spans="1:8" s="1050" customFormat="1" ht="14.25" customHeight="1" thickBot="1">
      <c r="A187" s="1062" t="s">
        <v>1401</v>
      </c>
      <c r="B187" s="1056" t="s">
        <v>1329</v>
      </c>
      <c r="C187" s="1056"/>
      <c r="D187" s="1056"/>
      <c r="E187" s="1056"/>
      <c r="F187" s="1074">
        <v>1560</v>
      </c>
      <c r="H187" s="1081"/>
    </row>
    <row r="188" spans="1:8" s="1050" customFormat="1" ht="14.25" customHeight="1" thickBot="1">
      <c r="A188" s="1062" t="s">
        <v>1401</v>
      </c>
      <c r="B188" s="1056" t="s">
        <v>1334</v>
      </c>
      <c r="C188" s="1056"/>
      <c r="D188" s="1056"/>
      <c r="E188" s="1056"/>
      <c r="F188" s="1074">
        <v>1560</v>
      </c>
      <c r="H188" s="1081"/>
    </row>
    <row r="189" spans="1:8" s="1050" customFormat="1" ht="14.25" customHeight="1" thickBot="1">
      <c r="A189" s="1062" t="s">
        <v>1401</v>
      </c>
      <c r="B189" s="1056" t="s">
        <v>1339</v>
      </c>
      <c r="C189" s="1056"/>
      <c r="D189" s="1056"/>
      <c r="E189" s="1056"/>
      <c r="F189" s="1074">
        <v>1320</v>
      </c>
      <c r="H189" s="1081"/>
    </row>
    <row r="190" spans="1:8" s="1050" customFormat="1" ht="14.25" customHeight="1" thickBot="1">
      <c r="A190" s="1062" t="s">
        <v>1401</v>
      </c>
      <c r="B190" s="1056" t="s">
        <v>1344</v>
      </c>
      <c r="C190" s="1056"/>
      <c r="D190" s="1056"/>
      <c r="E190" s="1056"/>
      <c r="F190" s="1074">
        <v>1320</v>
      </c>
      <c r="H190" s="1081"/>
    </row>
    <row r="191" spans="1:8" s="1050" customFormat="1" ht="14.25" customHeight="1" thickBot="1">
      <c r="A191" s="1062" t="s">
        <v>1401</v>
      </c>
      <c r="B191" s="1056" t="s">
        <v>1349</v>
      </c>
      <c r="C191" s="1056"/>
      <c r="D191" s="1056"/>
      <c r="E191" s="1056"/>
      <c r="F191" s="1074">
        <v>1320</v>
      </c>
      <c r="H191" s="1081"/>
    </row>
    <row r="192" spans="1:8" s="1050" customFormat="1" ht="14.25" customHeight="1" thickBot="1">
      <c r="A192" s="1062" t="s">
        <v>1401</v>
      </c>
      <c r="B192" s="1056" t="s">
        <v>1353</v>
      </c>
      <c r="C192" s="1056"/>
      <c r="D192" s="1056"/>
      <c r="E192" s="1056"/>
      <c r="F192" s="1074">
        <v>1100</v>
      </c>
      <c r="H192" s="1081"/>
    </row>
    <row r="193" spans="1:8" s="1050" customFormat="1" ht="14.25" customHeight="1" thickBot="1">
      <c r="A193" s="1062" t="s">
        <v>1401</v>
      </c>
      <c r="B193" s="1056" t="s">
        <v>1357</v>
      </c>
      <c r="C193" s="1056"/>
      <c r="D193" s="1056"/>
      <c r="E193" s="1056"/>
      <c r="F193" s="1074">
        <v>1100</v>
      </c>
      <c r="H193" s="1081"/>
    </row>
    <row r="194" spans="1:8" s="1050" customFormat="1" ht="14.25" customHeight="1" thickBot="1">
      <c r="A194" s="1062" t="s">
        <v>1401</v>
      </c>
      <c r="B194" s="1056" t="s">
        <v>1361</v>
      </c>
      <c r="C194" s="1056"/>
      <c r="D194" s="1056"/>
      <c r="E194" s="1056"/>
      <c r="F194" s="1074">
        <v>1080</v>
      </c>
      <c r="H194" s="1081"/>
    </row>
    <row r="195" spans="1:8" s="1050" customFormat="1" ht="14.25" customHeight="1" thickBot="1">
      <c r="A195" s="1062" t="s">
        <v>1401</v>
      </c>
      <c r="B195" s="1056" t="s">
        <v>1365</v>
      </c>
      <c r="C195" s="1056"/>
      <c r="D195" s="1056"/>
      <c r="E195" s="1056"/>
      <c r="F195" s="1074">
        <v>1270</v>
      </c>
      <c r="H195" s="1081"/>
    </row>
    <row r="196" spans="1:8" s="1050" customFormat="1" ht="14.25" customHeight="1" thickBot="1">
      <c r="A196" s="1062" t="s">
        <v>1401</v>
      </c>
      <c r="B196" s="1056" t="s">
        <v>1369</v>
      </c>
      <c r="C196" s="1056"/>
      <c r="D196" s="1056"/>
      <c r="E196" s="1056"/>
      <c r="F196" s="1074">
        <v>1150</v>
      </c>
      <c r="H196" s="1081"/>
    </row>
    <row r="197" spans="1:8" s="1050" customFormat="1" ht="14.25" customHeight="1" thickBot="1">
      <c r="A197" s="1062" t="s">
        <v>1401</v>
      </c>
      <c r="B197" s="1056" t="s">
        <v>1373</v>
      </c>
      <c r="C197" s="1056"/>
      <c r="D197" s="1056"/>
      <c r="E197" s="1056"/>
      <c r="F197" s="1074">
        <v>1330</v>
      </c>
      <c r="H197" s="1081"/>
    </row>
    <row r="198" spans="1:8" s="1050" customFormat="1" ht="14.25" customHeight="1" thickBot="1">
      <c r="A198" s="1062" t="s">
        <v>1401</v>
      </c>
      <c r="B198" s="1056" t="s">
        <v>1376</v>
      </c>
      <c r="C198" s="1056"/>
      <c r="D198" s="1056"/>
      <c r="E198" s="1056"/>
      <c r="F198" s="1074">
        <v>1170</v>
      </c>
      <c r="H198" s="1081"/>
    </row>
    <row r="199" spans="1:8" s="1050" customFormat="1" ht="14.25" customHeight="1" thickBot="1">
      <c r="A199" s="1062" t="s">
        <v>1401</v>
      </c>
      <c r="B199" s="1056" t="s">
        <v>1379</v>
      </c>
      <c r="C199" s="1056"/>
      <c r="D199" s="1056"/>
      <c r="E199" s="1056"/>
      <c r="F199" s="1074">
        <v>1120</v>
      </c>
      <c r="H199" s="1081"/>
    </row>
    <row r="200" spans="1:8" s="1050" customFormat="1" ht="14.25" customHeight="1" thickBot="1">
      <c r="A200" s="1062" t="s">
        <v>1401</v>
      </c>
      <c r="B200" s="1056" t="s">
        <v>1382</v>
      </c>
      <c r="C200" s="1056"/>
      <c r="D200" s="1056"/>
      <c r="E200" s="1056"/>
      <c r="F200" s="1074">
        <v>1120</v>
      </c>
      <c r="H200" s="1081"/>
    </row>
    <row r="201" spans="1:8" s="1050" customFormat="1" ht="14.25" customHeight="1" thickBot="1">
      <c r="A201" s="1062" t="s">
        <v>1401</v>
      </c>
      <c r="B201" s="1056" t="s">
        <v>1385</v>
      </c>
      <c r="C201" s="1056"/>
      <c r="D201" s="1056"/>
      <c r="E201" s="1056"/>
      <c r="F201" s="1074">
        <v>1540</v>
      </c>
      <c r="H201" s="1081"/>
    </row>
    <row r="202" spans="1:8" s="1050" customFormat="1" ht="14.25" customHeight="1" thickBot="1">
      <c r="A202" s="1062" t="s">
        <v>1401</v>
      </c>
      <c r="B202" s="1056" t="s">
        <v>1388</v>
      </c>
      <c r="C202" s="1056"/>
      <c r="D202" s="1056"/>
      <c r="E202" s="1056"/>
      <c r="F202" s="1074">
        <v>1310</v>
      </c>
      <c r="H202" s="1081"/>
    </row>
    <row r="203" spans="1:8" s="1050" customFormat="1" ht="14.25" customHeight="1" thickBot="1">
      <c r="A203" s="1062" t="s">
        <v>1401</v>
      </c>
      <c r="B203" s="1056" t="s">
        <v>1391</v>
      </c>
      <c r="C203" s="1056"/>
      <c r="D203" s="1056"/>
      <c r="E203" s="1056"/>
      <c r="F203" s="1074">
        <v>1310</v>
      </c>
      <c r="H203" s="1081"/>
    </row>
    <row r="204" spans="1:8" s="1050" customFormat="1" ht="14.25" customHeight="1" thickBot="1">
      <c r="A204" s="1062" t="s">
        <v>1401</v>
      </c>
      <c r="B204" s="1056" t="s">
        <v>1393</v>
      </c>
      <c r="C204" s="1056"/>
      <c r="D204" s="1056"/>
      <c r="E204" s="1056"/>
      <c r="F204" s="1074">
        <v>1080</v>
      </c>
      <c r="H204" s="1081"/>
    </row>
    <row r="205" spans="1:8" s="1050" customFormat="1" ht="14.25" customHeight="1" thickBot="1">
      <c r="A205" s="1062" t="s">
        <v>1401</v>
      </c>
      <c r="B205" s="1056" t="s">
        <v>1396</v>
      </c>
      <c r="C205" s="1056"/>
      <c r="D205" s="1056"/>
      <c r="E205" s="1056"/>
      <c r="F205" s="1074">
        <v>1080</v>
      </c>
      <c r="H205" s="1081"/>
    </row>
    <row r="206" spans="1:8" s="1050" customFormat="1" ht="14.25" customHeight="1" thickBot="1">
      <c r="A206" s="1062" t="s">
        <v>1403</v>
      </c>
      <c r="B206" s="1063" t="s">
        <v>1404</v>
      </c>
      <c r="C206" s="1063">
        <v>5450</v>
      </c>
      <c r="D206" s="1063">
        <v>5430</v>
      </c>
      <c r="E206" s="1063">
        <v>5700</v>
      </c>
      <c r="F206" s="1064">
        <v>1020</v>
      </c>
      <c r="H206" s="1081"/>
    </row>
    <row r="207" spans="1:8" s="1050" customFormat="1" ht="14.25" customHeight="1" thickBot="1">
      <c r="A207" s="1062" t="s">
        <v>1403</v>
      </c>
      <c r="B207" s="1056" t="s">
        <v>1067</v>
      </c>
      <c r="C207" s="1056">
        <v>5860</v>
      </c>
      <c r="D207" s="1056">
        <v>5820</v>
      </c>
      <c r="E207" s="1056">
        <v>6050</v>
      </c>
      <c r="F207" s="1074">
        <v>1080</v>
      </c>
      <c r="H207" s="1081"/>
    </row>
    <row r="208" spans="1:8" s="1050" customFormat="1" ht="14.25" customHeight="1" thickBot="1">
      <c r="A208" s="1062" t="s">
        <v>1403</v>
      </c>
      <c r="B208" s="1056" t="s">
        <v>1081</v>
      </c>
      <c r="C208" s="1056">
        <v>4630</v>
      </c>
      <c r="D208" s="1056">
        <v>4600</v>
      </c>
      <c r="E208" s="1056">
        <v>4840</v>
      </c>
      <c r="F208" s="1074">
        <v>900</v>
      </c>
      <c r="H208" s="1081"/>
    </row>
    <row r="209" spans="1:8" s="1050" customFormat="1" ht="14.25" customHeight="1" thickBot="1">
      <c r="A209" s="1062" t="s">
        <v>1403</v>
      </c>
      <c r="B209" s="1056" t="s">
        <v>1094</v>
      </c>
      <c r="C209" s="1056">
        <v>5320</v>
      </c>
      <c r="D209" s="1056">
        <v>5270</v>
      </c>
      <c r="E209" s="1056">
        <v>5540</v>
      </c>
      <c r="F209" s="1074">
        <v>980</v>
      </c>
      <c r="H209" s="1081"/>
    </row>
    <row r="210" spans="1:8" s="1050" customFormat="1" ht="14.25" customHeight="1" thickBot="1">
      <c r="A210" s="1062" t="s">
        <v>1403</v>
      </c>
      <c r="B210" s="1056" t="s">
        <v>1108</v>
      </c>
      <c r="C210" s="1056">
        <v>5760</v>
      </c>
      <c r="D210" s="1056">
        <v>5710</v>
      </c>
      <c r="E210" s="1056">
        <v>6010</v>
      </c>
      <c r="F210" s="1074">
        <v>870</v>
      </c>
      <c r="H210" s="1081"/>
    </row>
    <row r="211" spans="1:8" s="1050" customFormat="1" ht="14.25" customHeight="1" thickBot="1">
      <c r="A211" s="1062" t="s">
        <v>1403</v>
      </c>
      <c r="B211" s="1056" t="s">
        <v>1119</v>
      </c>
      <c r="C211" s="1056">
        <v>4160</v>
      </c>
      <c r="D211" s="1056">
        <v>4100</v>
      </c>
      <c r="E211" s="1056">
        <v>4270</v>
      </c>
      <c r="F211" s="1074">
        <v>790</v>
      </c>
      <c r="H211" s="1081"/>
    </row>
    <row r="212" spans="1:8" s="1050" customFormat="1" ht="14.25" customHeight="1" thickBot="1">
      <c r="A212" s="1062" t="s">
        <v>1403</v>
      </c>
      <c r="B212" s="1056" t="s">
        <v>1130</v>
      </c>
      <c r="C212" s="1056">
        <v>4880</v>
      </c>
      <c r="D212" s="1056">
        <v>4850</v>
      </c>
      <c r="E212" s="1056">
        <v>5110</v>
      </c>
      <c r="F212" s="1074">
        <v>940</v>
      </c>
      <c r="H212" s="1081"/>
    </row>
    <row r="213" spans="1:8" s="1050" customFormat="1" ht="14.25" customHeight="1" thickBot="1">
      <c r="A213" s="1062" t="s">
        <v>1403</v>
      </c>
      <c r="B213" s="1056" t="s">
        <v>1141</v>
      </c>
      <c r="C213" s="1056">
        <v>4640</v>
      </c>
      <c r="D213" s="1056">
        <v>4590</v>
      </c>
      <c r="E213" s="1056">
        <v>4700</v>
      </c>
      <c r="F213" s="1074">
        <v>1030</v>
      </c>
      <c r="H213" s="1081"/>
    </row>
    <row r="214" spans="1:8" s="1050" customFormat="1" ht="14.25" customHeight="1" thickBot="1">
      <c r="A214" s="1062" t="s">
        <v>1403</v>
      </c>
      <c r="B214" s="1056" t="s">
        <v>1153</v>
      </c>
      <c r="C214" s="1056">
        <v>4540</v>
      </c>
      <c r="D214" s="1056">
        <v>4490</v>
      </c>
      <c r="E214" s="1056">
        <v>4610</v>
      </c>
      <c r="F214" s="1083"/>
      <c r="H214" s="1081"/>
    </row>
    <row r="215" spans="1:8" s="1050" customFormat="1" ht="14.25" customHeight="1" thickBot="1">
      <c r="A215" s="1062" t="s">
        <v>1403</v>
      </c>
      <c r="B215" s="1056" t="s">
        <v>1163</v>
      </c>
      <c r="C215" s="1056">
        <v>5280</v>
      </c>
      <c r="D215" s="1056">
        <v>5250</v>
      </c>
      <c r="E215" s="1056">
        <v>5520</v>
      </c>
      <c r="F215" s="1074">
        <v>1000</v>
      </c>
      <c r="H215" s="1081"/>
    </row>
    <row r="216" spans="1:8" s="1050" customFormat="1" ht="14.25" customHeight="1" thickBot="1">
      <c r="A216" s="1062" t="s">
        <v>1403</v>
      </c>
      <c r="B216" s="1056" t="s">
        <v>1173</v>
      </c>
      <c r="C216" s="1056">
        <v>5100</v>
      </c>
      <c r="D216" s="1056">
        <v>5050</v>
      </c>
      <c r="E216" s="1056">
        <v>5300</v>
      </c>
      <c r="F216" s="1074">
        <v>950</v>
      </c>
      <c r="H216" s="1081"/>
    </row>
    <row r="217" spans="1:8" s="1050" customFormat="1" ht="14.25" customHeight="1" thickBot="1">
      <c r="A217" s="1062" t="s">
        <v>1403</v>
      </c>
      <c r="B217" s="1056" t="s">
        <v>1183</v>
      </c>
      <c r="C217" s="1056">
        <v>5370</v>
      </c>
      <c r="D217" s="1056">
        <v>5320</v>
      </c>
      <c r="E217" s="1056">
        <v>5410</v>
      </c>
      <c r="F217" s="1074">
        <v>950</v>
      </c>
      <c r="H217" s="1081"/>
    </row>
    <row r="218" spans="1:8" s="1050" customFormat="1" ht="14.25" customHeight="1" thickBot="1">
      <c r="A218" s="1062" t="s">
        <v>1403</v>
      </c>
      <c r="B218" s="1056" t="s">
        <v>1193</v>
      </c>
      <c r="C218" s="1056">
        <v>5540</v>
      </c>
      <c r="D218" s="1056">
        <v>5480</v>
      </c>
      <c r="E218" s="1056">
        <v>5740</v>
      </c>
      <c r="F218" s="1074">
        <v>1020</v>
      </c>
      <c r="H218" s="1081"/>
    </row>
    <row r="219" spans="1:8" s="1050" customFormat="1" ht="14.25" customHeight="1" thickBot="1">
      <c r="A219" s="1062" t="s">
        <v>1403</v>
      </c>
      <c r="B219" s="1056" t="s">
        <v>1203</v>
      </c>
      <c r="C219" s="1056">
        <v>5140</v>
      </c>
      <c r="D219" s="1056">
        <v>5100</v>
      </c>
      <c r="E219" s="1056">
        <v>5350</v>
      </c>
      <c r="F219" s="1074">
        <v>1120</v>
      </c>
      <c r="H219" s="1081"/>
    </row>
    <row r="220" spans="1:8" s="1050" customFormat="1" ht="14.25" customHeight="1" thickBot="1">
      <c r="A220" s="1062" t="s">
        <v>1403</v>
      </c>
      <c r="B220" s="1056" t="s">
        <v>1213</v>
      </c>
      <c r="C220" s="1056">
        <v>5040</v>
      </c>
      <c r="D220" s="1056">
        <v>5000</v>
      </c>
      <c r="E220" s="1056">
        <v>5240</v>
      </c>
      <c r="F220" s="1074">
        <v>980</v>
      </c>
      <c r="H220" s="1081"/>
    </row>
    <row r="221" spans="1:8" s="1050" customFormat="1" ht="14.25" customHeight="1" thickBot="1">
      <c r="A221" s="1062" t="s">
        <v>1403</v>
      </c>
      <c r="B221" s="1056" t="s">
        <v>1223</v>
      </c>
      <c r="C221" s="1084"/>
      <c r="D221" s="1084"/>
      <c r="E221" s="1084"/>
      <c r="F221" s="1074">
        <v>1070</v>
      </c>
      <c r="H221" s="1081"/>
    </row>
    <row r="222" spans="1:8" s="1050" customFormat="1" ht="14.25" customHeight="1" thickBot="1">
      <c r="A222" s="1062" t="s">
        <v>1403</v>
      </c>
      <c r="B222" s="1056" t="s">
        <v>1233</v>
      </c>
      <c r="C222" s="1084"/>
      <c r="D222" s="1084"/>
      <c r="E222" s="1084"/>
      <c r="F222" s="1074">
        <v>870</v>
      </c>
      <c r="H222" s="1081"/>
    </row>
    <row r="223" spans="1:8" s="1050" customFormat="1" ht="14.25" customHeight="1" thickBot="1">
      <c r="A223" s="1062" t="s">
        <v>1403</v>
      </c>
      <c r="B223" s="1056" t="s">
        <v>1243</v>
      </c>
      <c r="C223" s="1084"/>
      <c r="D223" s="1084"/>
      <c r="E223" s="1084"/>
      <c r="F223" s="1074">
        <v>940</v>
      </c>
      <c r="H223" s="1081"/>
    </row>
    <row r="224" spans="1:8" s="1050" customFormat="1" ht="14.25" customHeight="1" thickBot="1">
      <c r="A224" s="1062" t="s">
        <v>1403</v>
      </c>
      <c r="B224" s="1056" t="s">
        <v>1253</v>
      </c>
      <c r="C224" s="1084"/>
      <c r="D224" s="1084"/>
      <c r="E224" s="1084"/>
      <c r="F224" s="1074">
        <v>990</v>
      </c>
      <c r="H224" s="1081"/>
    </row>
    <row r="225" spans="1:8" s="1050" customFormat="1" ht="14.25" customHeight="1" thickBot="1">
      <c r="A225" s="1062" t="s">
        <v>1403</v>
      </c>
      <c r="B225" s="1056" t="s">
        <v>1262</v>
      </c>
      <c r="C225" s="1056">
        <v>5730</v>
      </c>
      <c r="D225" s="1056">
        <v>5680</v>
      </c>
      <c r="E225" s="1056">
        <v>6020</v>
      </c>
      <c r="F225" s="1074">
        <v>1000</v>
      </c>
      <c r="H225" s="1081"/>
    </row>
    <row r="226" spans="1:8" s="1050" customFormat="1" ht="14.25" customHeight="1" thickBot="1">
      <c r="A226" s="1062" t="s">
        <v>1403</v>
      </c>
      <c r="B226" s="1056" t="s">
        <v>1271</v>
      </c>
      <c r="C226" s="1056">
        <v>4970</v>
      </c>
      <c r="D226" s="1056">
        <v>4940</v>
      </c>
      <c r="E226" s="1056">
        <v>5180</v>
      </c>
      <c r="F226" s="1074">
        <v>960</v>
      </c>
      <c r="H226" s="1081"/>
    </row>
    <row r="227" spans="1:8" s="1050" customFormat="1" ht="14.25" customHeight="1" thickBot="1">
      <c r="A227" s="1062" t="s">
        <v>1403</v>
      </c>
      <c r="B227" s="1056" t="s">
        <v>1279</v>
      </c>
      <c r="C227" s="1056">
        <v>5550</v>
      </c>
      <c r="D227" s="1056">
        <v>5500</v>
      </c>
      <c r="E227" s="1056">
        <v>5780</v>
      </c>
      <c r="F227" s="1074">
        <v>940</v>
      </c>
      <c r="H227" s="1081"/>
    </row>
    <row r="228" spans="1:8" s="1050" customFormat="1" ht="14.25" customHeight="1" thickBot="1">
      <c r="A228" s="1062" t="s">
        <v>1403</v>
      </c>
      <c r="B228" s="1056" t="s">
        <v>1286</v>
      </c>
      <c r="C228" s="1056">
        <v>5460</v>
      </c>
      <c r="D228" s="1056">
        <v>5420</v>
      </c>
      <c r="E228" s="1056">
        <v>5690</v>
      </c>
      <c r="F228" s="1074">
        <v>910</v>
      </c>
      <c r="H228" s="1081"/>
    </row>
    <row r="229" spans="1:8" s="1050" customFormat="1" ht="14.25" customHeight="1" thickBot="1">
      <c r="A229" s="1062" t="s">
        <v>1403</v>
      </c>
      <c r="B229" s="1056" t="s">
        <v>1293</v>
      </c>
      <c r="C229" s="1056">
        <v>5310</v>
      </c>
      <c r="D229" s="1056">
        <v>5270</v>
      </c>
      <c r="E229" s="1056">
        <v>5510</v>
      </c>
      <c r="F229" s="1083"/>
      <c r="H229" s="1081"/>
    </row>
    <row r="230" spans="1:8" s="1050" customFormat="1" ht="14.25" customHeight="1" thickBot="1">
      <c r="A230" s="1062" t="s">
        <v>1403</v>
      </c>
      <c r="B230" s="1056" t="s">
        <v>1300</v>
      </c>
      <c r="C230" s="1056">
        <v>4540</v>
      </c>
      <c r="D230" s="1056">
        <v>4500</v>
      </c>
      <c r="E230" s="1056">
        <v>4730</v>
      </c>
      <c r="F230" s="1083"/>
      <c r="H230" s="1081"/>
    </row>
    <row r="231" spans="1:8" s="1050" customFormat="1" ht="14.25" customHeight="1" thickBot="1">
      <c r="A231" s="1062" t="s">
        <v>1403</v>
      </c>
      <c r="B231" s="1056" t="s">
        <v>1307</v>
      </c>
      <c r="C231" s="1056">
        <v>4480</v>
      </c>
      <c r="D231" s="1056">
        <v>4410</v>
      </c>
      <c r="E231" s="1056">
        <v>4640</v>
      </c>
      <c r="F231" s="1083"/>
      <c r="H231" s="1081"/>
    </row>
    <row r="232" spans="1:8" s="1050" customFormat="1" ht="14.25" customHeight="1" thickBot="1">
      <c r="A232" s="1062" t="s">
        <v>1403</v>
      </c>
      <c r="B232" s="1056" t="s">
        <v>1314</v>
      </c>
      <c r="C232" s="1056">
        <v>5670</v>
      </c>
      <c r="D232" s="1056">
        <v>5600</v>
      </c>
      <c r="E232" s="1056">
        <v>5890</v>
      </c>
      <c r="F232" s="1074">
        <v>1150</v>
      </c>
      <c r="H232" s="1081"/>
    </row>
    <row r="233" spans="1:8" s="1050" customFormat="1" ht="14.25" customHeight="1" thickBot="1">
      <c r="A233" s="1062" t="s">
        <v>1403</v>
      </c>
      <c r="B233" s="1056" t="s">
        <v>1321</v>
      </c>
      <c r="C233" s="1056">
        <v>4590</v>
      </c>
      <c r="D233" s="1056">
        <v>4500</v>
      </c>
      <c r="E233" s="1056">
        <v>4600</v>
      </c>
      <c r="F233" s="1083"/>
      <c r="H233" s="1081"/>
    </row>
    <row r="234" spans="1:8" s="1050" customFormat="1" ht="14.25" customHeight="1" thickBot="1">
      <c r="A234" s="1062" t="s">
        <v>1403</v>
      </c>
      <c r="B234" s="1056" t="s">
        <v>2406</v>
      </c>
      <c r="C234" s="1056">
        <v>3990</v>
      </c>
      <c r="D234" s="1056">
        <v>3950</v>
      </c>
      <c r="E234" s="1056">
        <v>4180</v>
      </c>
      <c r="F234" s="1083"/>
      <c r="H234" s="1081"/>
    </row>
    <row r="235" spans="1:8" s="1050" customFormat="1" ht="14.25" customHeight="1" thickBot="1">
      <c r="A235" s="1062" t="s">
        <v>1403</v>
      </c>
      <c r="B235" s="1056" t="s">
        <v>1330</v>
      </c>
      <c r="C235" s="1056">
        <v>5590</v>
      </c>
      <c r="D235" s="1056">
        <v>5540</v>
      </c>
      <c r="E235" s="1056">
        <v>5810</v>
      </c>
      <c r="F235" s="1074">
        <v>970</v>
      </c>
      <c r="H235" s="1081"/>
    </row>
    <row r="236" spans="1:8" s="1050" customFormat="1" ht="14.25" customHeight="1" thickBot="1">
      <c r="A236" s="1062" t="s">
        <v>1403</v>
      </c>
      <c r="B236" s="1056" t="s">
        <v>1335</v>
      </c>
      <c r="C236" s="1056"/>
      <c r="D236" s="1056"/>
      <c r="E236" s="1056"/>
      <c r="F236" s="1074">
        <v>1020</v>
      </c>
      <c r="H236" s="1081"/>
    </row>
    <row r="237" spans="1:8" s="1050" customFormat="1" ht="14.25" customHeight="1" thickBot="1">
      <c r="A237" s="1062" t="s">
        <v>1403</v>
      </c>
      <c r="B237" s="1056" t="s">
        <v>1340</v>
      </c>
      <c r="C237" s="1056"/>
      <c r="D237" s="1056"/>
      <c r="E237" s="1056"/>
      <c r="F237" s="1074">
        <v>960</v>
      </c>
      <c r="H237" s="1081"/>
    </row>
    <row r="238" spans="1:8" s="1050" customFormat="1" ht="14.25" customHeight="1" thickBot="1">
      <c r="A238" s="1062" t="s">
        <v>1403</v>
      </c>
      <c r="B238" s="1056" t="s">
        <v>1345</v>
      </c>
      <c r="C238" s="1056"/>
      <c r="D238" s="1056"/>
      <c r="E238" s="1056"/>
      <c r="F238" s="1074">
        <v>960</v>
      </c>
      <c r="H238" s="1081"/>
    </row>
    <row r="239" spans="1:8" s="1050" customFormat="1" ht="14.25" customHeight="1" thickBot="1">
      <c r="A239" s="1062" t="s">
        <v>1403</v>
      </c>
      <c r="B239" s="1056" t="s">
        <v>1350</v>
      </c>
      <c r="C239" s="1056"/>
      <c r="D239" s="1056"/>
      <c r="E239" s="1056"/>
      <c r="F239" s="1074">
        <v>960</v>
      </c>
      <c r="H239" s="1081"/>
    </row>
    <row r="240" spans="1:8" s="1050" customFormat="1" ht="14.25" customHeight="1" thickBot="1">
      <c r="A240" s="1062" t="s">
        <v>1403</v>
      </c>
      <c r="B240" s="1056" t="s">
        <v>1354</v>
      </c>
      <c r="C240" s="1056"/>
      <c r="D240" s="1056"/>
      <c r="E240" s="1056"/>
      <c r="F240" s="1074">
        <v>990</v>
      </c>
      <c r="H240" s="1081"/>
    </row>
    <row r="241" spans="1:8" s="1050" customFormat="1" ht="14.25" customHeight="1" thickBot="1">
      <c r="A241" s="1062" t="s">
        <v>1403</v>
      </c>
      <c r="B241" s="1056" t="s">
        <v>1358</v>
      </c>
      <c r="C241" s="1056"/>
      <c r="D241" s="1056"/>
      <c r="E241" s="1056"/>
      <c r="F241" s="1074">
        <v>1000</v>
      </c>
      <c r="H241" s="1081"/>
    </row>
    <row r="242" spans="1:8" s="1050" customFormat="1" ht="14.25" customHeight="1" thickBot="1">
      <c r="A242" s="1062" t="s">
        <v>1403</v>
      </c>
      <c r="B242" s="1056" t="s">
        <v>1362</v>
      </c>
      <c r="C242" s="1056"/>
      <c r="D242" s="1056"/>
      <c r="E242" s="1056"/>
      <c r="F242" s="1074">
        <v>980</v>
      </c>
      <c r="H242" s="1081"/>
    </row>
    <row r="243" spans="1:8" s="1050" customFormat="1" ht="14.25" customHeight="1" thickBot="1">
      <c r="A243" s="1062" t="s">
        <v>1403</v>
      </c>
      <c r="B243" s="1056" t="s">
        <v>1366</v>
      </c>
      <c r="C243" s="1056"/>
      <c r="D243" s="1056"/>
      <c r="E243" s="1056"/>
      <c r="F243" s="1074">
        <v>970</v>
      </c>
      <c r="H243" s="1081"/>
    </row>
    <row r="244" spans="1:8" s="1050" customFormat="1" ht="14.25" customHeight="1" thickBot="1">
      <c r="A244" s="1062" t="s">
        <v>1403</v>
      </c>
      <c r="B244" s="1072" t="s">
        <v>1370</v>
      </c>
      <c r="C244" s="1072"/>
      <c r="D244" s="1072"/>
      <c r="E244" s="1072"/>
      <c r="F244" s="1082">
        <v>970</v>
      </c>
      <c r="H244" s="1081"/>
    </row>
    <row r="245" spans="1:8" s="1050" customFormat="1" ht="14.25" customHeight="1" thickBot="1">
      <c r="A245" s="1062" t="s">
        <v>1405</v>
      </c>
      <c r="B245" s="1063" t="s">
        <v>1406</v>
      </c>
      <c r="C245" s="1063">
        <v>4050</v>
      </c>
      <c r="D245" s="1063">
        <v>4020</v>
      </c>
      <c r="E245" s="1063">
        <v>4160</v>
      </c>
      <c r="F245" s="1064">
        <v>840</v>
      </c>
      <c r="H245" s="1081"/>
    </row>
    <row r="246" spans="1:8" s="1050" customFormat="1" ht="14.25" customHeight="1" thickBot="1">
      <c r="A246" s="1062" t="s">
        <v>1405</v>
      </c>
      <c r="B246" s="1056" t="s">
        <v>1068</v>
      </c>
      <c r="C246" s="1056">
        <v>4010</v>
      </c>
      <c r="D246" s="1056">
        <v>3960</v>
      </c>
      <c r="E246" s="1056">
        <v>4130</v>
      </c>
      <c r="F246" s="1074">
        <v>840</v>
      </c>
      <c r="H246" s="1081"/>
    </row>
    <row r="247" spans="1:8" s="1050" customFormat="1" ht="14.25" customHeight="1" thickBot="1">
      <c r="A247" s="1062" t="s">
        <v>1405</v>
      </c>
      <c r="B247" s="1056" t="s">
        <v>1407</v>
      </c>
      <c r="C247" s="1056">
        <v>3170</v>
      </c>
      <c r="D247" s="1056">
        <v>3140</v>
      </c>
      <c r="E247" s="1056">
        <v>3270</v>
      </c>
      <c r="F247" s="1074">
        <v>640</v>
      </c>
      <c r="H247" s="1081"/>
    </row>
    <row r="248" spans="1:8" s="1050" customFormat="1" ht="14.25" customHeight="1" thickBot="1">
      <c r="A248" s="1062" t="s">
        <v>1405</v>
      </c>
      <c r="B248" s="1056" t="s">
        <v>1408</v>
      </c>
      <c r="C248" s="1056">
        <v>3140</v>
      </c>
      <c r="D248" s="1056">
        <v>3120</v>
      </c>
      <c r="E248" s="1056">
        <v>3240</v>
      </c>
      <c r="F248" s="1074">
        <v>620</v>
      </c>
      <c r="H248" s="1081"/>
    </row>
    <row r="249" spans="1:8" s="1050" customFormat="1" ht="14.25" customHeight="1" thickBot="1">
      <c r="A249" s="1062" t="s">
        <v>1405</v>
      </c>
      <c r="B249" s="1056" t="s">
        <v>1109</v>
      </c>
      <c r="C249" s="1056">
        <v>3200</v>
      </c>
      <c r="D249" s="1056">
        <v>3100</v>
      </c>
      <c r="E249" s="1056">
        <v>3230</v>
      </c>
      <c r="F249" s="1074">
        <v>750</v>
      </c>
      <c r="H249" s="1081"/>
    </row>
    <row r="250" spans="1:8" s="1050" customFormat="1" ht="14.25" customHeight="1" thickBot="1">
      <c r="A250" s="1062" t="s">
        <v>1405</v>
      </c>
      <c r="B250" s="1056" t="s">
        <v>1120</v>
      </c>
      <c r="C250" s="1056">
        <v>4060</v>
      </c>
      <c r="D250" s="1056">
        <v>4000</v>
      </c>
      <c r="E250" s="1056">
        <v>4140</v>
      </c>
      <c r="F250" s="1074">
        <v>790</v>
      </c>
      <c r="H250" s="1081"/>
    </row>
    <row r="251" spans="1:8" s="1050" customFormat="1" ht="14.25" customHeight="1" thickBot="1">
      <c r="A251" s="1062" t="s">
        <v>1405</v>
      </c>
      <c r="B251" s="1056" t="s">
        <v>1131</v>
      </c>
      <c r="C251" s="1056">
        <v>3990</v>
      </c>
      <c r="D251" s="1056">
        <v>3970</v>
      </c>
      <c r="E251" s="1056">
        <v>4110</v>
      </c>
      <c r="F251" s="1074">
        <v>730</v>
      </c>
      <c r="H251" s="1081"/>
    </row>
    <row r="252" spans="1:8" s="1050" customFormat="1" ht="14.25" customHeight="1" thickBot="1">
      <c r="A252" s="1062" t="s">
        <v>1405</v>
      </c>
      <c r="B252" s="1056" t="s">
        <v>1142</v>
      </c>
      <c r="C252" s="1056">
        <v>3560</v>
      </c>
      <c r="D252" s="1056">
        <v>3530</v>
      </c>
      <c r="E252" s="1056">
        <v>3650</v>
      </c>
      <c r="F252" s="1074">
        <v>750</v>
      </c>
      <c r="H252" s="1081"/>
    </row>
    <row r="253" spans="1:8" s="1050" customFormat="1" ht="14.25" customHeight="1" thickBot="1">
      <c r="A253" s="1062" t="s">
        <v>1405</v>
      </c>
      <c r="B253" s="1056" t="s">
        <v>1154</v>
      </c>
      <c r="C253" s="1056">
        <v>3780</v>
      </c>
      <c r="D253" s="1056">
        <v>3750</v>
      </c>
      <c r="E253" s="1056">
        <v>3870</v>
      </c>
      <c r="F253" s="1074">
        <v>770</v>
      </c>
      <c r="H253" s="1081"/>
    </row>
    <row r="254" spans="1:8" s="1050" customFormat="1" ht="14.25" customHeight="1" thickBot="1">
      <c r="A254" s="1062" t="s">
        <v>1405</v>
      </c>
      <c r="B254" s="1056" t="s">
        <v>1164</v>
      </c>
      <c r="C254" s="1084"/>
      <c r="D254" s="1084"/>
      <c r="E254" s="1084"/>
      <c r="F254" s="1074">
        <v>740</v>
      </c>
      <c r="H254" s="1081"/>
    </row>
    <row r="255" spans="1:8" s="1050" customFormat="1" ht="14.25" customHeight="1" thickBot="1">
      <c r="A255" s="1062" t="s">
        <v>1405</v>
      </c>
      <c r="B255" s="1056" t="s">
        <v>1174</v>
      </c>
      <c r="C255" s="1084"/>
      <c r="D255" s="1084"/>
      <c r="E255" s="1084"/>
      <c r="F255" s="1074">
        <v>760</v>
      </c>
      <c r="H255" s="1081"/>
    </row>
    <row r="256" spans="1:8" s="1050" customFormat="1" ht="14.25" customHeight="1" thickBot="1">
      <c r="A256" s="1062" t="s">
        <v>1405</v>
      </c>
      <c r="B256" s="1056" t="s">
        <v>1184</v>
      </c>
      <c r="C256" s="1056">
        <v>3760</v>
      </c>
      <c r="D256" s="1056">
        <v>3730</v>
      </c>
      <c r="E256" s="1056">
        <v>3870</v>
      </c>
      <c r="F256" s="1074">
        <v>830</v>
      </c>
      <c r="H256" s="1081"/>
    </row>
    <row r="257" spans="1:8" s="1050" customFormat="1" ht="14.25" customHeight="1" thickBot="1">
      <c r="A257" s="1062" t="s">
        <v>1405</v>
      </c>
      <c r="B257" s="1056" t="s">
        <v>1194</v>
      </c>
      <c r="C257" s="1056">
        <v>3570</v>
      </c>
      <c r="D257" s="1056">
        <v>3540</v>
      </c>
      <c r="E257" s="1056">
        <v>3650</v>
      </c>
      <c r="F257" s="1074">
        <v>790</v>
      </c>
      <c r="H257" s="1081"/>
    </row>
    <row r="258" spans="1:8" s="1050" customFormat="1" ht="14.25" customHeight="1" thickBot="1">
      <c r="A258" s="1062" t="s">
        <v>1405</v>
      </c>
      <c r="B258" s="1056" t="s">
        <v>1204</v>
      </c>
      <c r="C258" s="1056">
        <v>3410</v>
      </c>
      <c r="D258" s="1056">
        <v>3380</v>
      </c>
      <c r="E258" s="1056">
        <v>3500</v>
      </c>
      <c r="F258" s="1074">
        <v>830</v>
      </c>
      <c r="H258" s="1081"/>
    </row>
    <row r="259" spans="1:8" s="1050" customFormat="1" ht="14.25" customHeight="1" thickBot="1">
      <c r="A259" s="1062" t="s">
        <v>1405</v>
      </c>
      <c r="B259" s="1056" t="s">
        <v>1214</v>
      </c>
      <c r="C259" s="1056">
        <v>3870</v>
      </c>
      <c r="D259" s="1056">
        <v>3840</v>
      </c>
      <c r="E259" s="1056">
        <v>3970</v>
      </c>
      <c r="F259" s="1074">
        <v>830</v>
      </c>
      <c r="H259" s="1081"/>
    </row>
    <row r="260" spans="1:8" s="1050" customFormat="1" ht="14.25" customHeight="1" thickBot="1">
      <c r="A260" s="1062" t="s">
        <v>1405</v>
      </c>
      <c r="B260" s="1056" t="s">
        <v>1224</v>
      </c>
      <c r="C260" s="1056">
        <v>3700</v>
      </c>
      <c r="D260" s="1056">
        <v>3660</v>
      </c>
      <c r="E260" s="1056">
        <v>3810</v>
      </c>
      <c r="F260" s="1074">
        <v>790</v>
      </c>
      <c r="H260" s="1081"/>
    </row>
    <row r="261" spans="1:8" s="1050" customFormat="1" ht="14.25" customHeight="1" thickBot="1">
      <c r="A261" s="1062" t="s">
        <v>1405</v>
      </c>
      <c r="B261" s="1056" t="s">
        <v>1234</v>
      </c>
      <c r="C261" s="1056">
        <v>3470</v>
      </c>
      <c r="D261" s="1056">
        <v>3430</v>
      </c>
      <c r="E261" s="1056">
        <v>3640</v>
      </c>
      <c r="F261" s="1074">
        <v>760</v>
      </c>
      <c r="H261" s="1081"/>
    </row>
    <row r="262" spans="1:8" s="1050" customFormat="1" ht="14.25" customHeight="1" thickBot="1">
      <c r="A262" s="1062" t="s">
        <v>1405</v>
      </c>
      <c r="B262" s="1056" t="s">
        <v>1244</v>
      </c>
      <c r="C262" s="1056">
        <v>3510</v>
      </c>
      <c r="D262" s="1056">
        <v>3470</v>
      </c>
      <c r="E262" s="1056">
        <v>3680</v>
      </c>
      <c r="F262" s="1083"/>
      <c r="H262" s="1081"/>
    </row>
    <row r="263" spans="1:8" s="1050" customFormat="1" ht="14.25" customHeight="1" thickBot="1">
      <c r="A263" s="1062" t="s">
        <v>1405</v>
      </c>
      <c r="B263" s="1056" t="s">
        <v>1254</v>
      </c>
      <c r="C263" s="1056">
        <v>3960</v>
      </c>
      <c r="D263" s="1056">
        <v>3930</v>
      </c>
      <c r="E263" s="1056">
        <v>4070</v>
      </c>
      <c r="F263" s="1074">
        <v>830</v>
      </c>
      <c r="H263" s="1081"/>
    </row>
    <row r="264" spans="1:8" s="1050" customFormat="1" ht="14.25" customHeight="1" thickBot="1">
      <c r="A264" s="1062" t="s">
        <v>1405</v>
      </c>
      <c r="B264" s="1056" t="s">
        <v>1263</v>
      </c>
      <c r="C264" s="1056">
        <v>4010</v>
      </c>
      <c r="D264" s="1056">
        <v>3980</v>
      </c>
      <c r="E264" s="1056">
        <v>4150</v>
      </c>
      <c r="F264" s="1074">
        <v>760</v>
      </c>
      <c r="H264" s="1081"/>
    </row>
    <row r="265" spans="1:8" s="1050" customFormat="1" ht="14.25" customHeight="1" thickBot="1">
      <c r="A265" s="1062" t="s">
        <v>1405</v>
      </c>
      <c r="B265" s="1056" t="s">
        <v>1272</v>
      </c>
      <c r="C265" s="1056">
        <v>3910</v>
      </c>
      <c r="D265" s="1056">
        <v>3890</v>
      </c>
      <c r="E265" s="1056">
        <v>4040</v>
      </c>
      <c r="F265" s="1074">
        <v>780</v>
      </c>
      <c r="H265" s="1081"/>
    </row>
    <row r="266" spans="1:8" s="1050" customFormat="1" ht="14.25" customHeight="1" thickBot="1">
      <c r="A266" s="1062" t="s">
        <v>1405</v>
      </c>
      <c r="B266" s="1056" t="s">
        <v>1280</v>
      </c>
      <c r="C266" s="1056">
        <v>3930</v>
      </c>
      <c r="D266" s="1056">
        <v>3900</v>
      </c>
      <c r="E266" s="1056">
        <v>4080</v>
      </c>
      <c r="F266" s="1074">
        <v>770</v>
      </c>
      <c r="H266" s="1081"/>
    </row>
    <row r="267" spans="1:8" s="1050" customFormat="1" ht="14.25" customHeight="1" thickBot="1">
      <c r="A267" s="1062" t="s">
        <v>1405</v>
      </c>
      <c r="B267" s="1056" t="s">
        <v>1287</v>
      </c>
      <c r="C267" s="1056">
        <v>3800</v>
      </c>
      <c r="D267" s="1056">
        <v>3780</v>
      </c>
      <c r="E267" s="1056">
        <v>3930</v>
      </c>
      <c r="F267" s="1083"/>
      <c r="H267" s="1081"/>
    </row>
    <row r="268" spans="1:8" s="1050" customFormat="1" ht="14.25" customHeight="1" thickBot="1">
      <c r="A268" s="1062" t="s">
        <v>1405</v>
      </c>
      <c r="B268" s="1056" t="s">
        <v>1294</v>
      </c>
      <c r="C268" s="1056">
        <v>3460</v>
      </c>
      <c r="D268" s="1056">
        <v>3430</v>
      </c>
      <c r="E268" s="1056">
        <v>3560</v>
      </c>
      <c r="F268" s="1074">
        <v>840</v>
      </c>
      <c r="H268" s="1081"/>
    </row>
    <row r="269" spans="1:8" s="1050" customFormat="1" ht="14.25" customHeight="1" thickBot="1">
      <c r="A269" s="1062" t="s">
        <v>1405</v>
      </c>
      <c r="B269" s="1056" t="s">
        <v>1301</v>
      </c>
      <c r="C269" s="1056">
        <v>3210</v>
      </c>
      <c r="D269" s="1056">
        <v>3190</v>
      </c>
      <c r="E269" s="1056">
        <v>3310</v>
      </c>
      <c r="F269" s="1074">
        <v>730</v>
      </c>
      <c r="H269" s="1081"/>
    </row>
    <row r="270" spans="1:8" s="1050" customFormat="1" ht="14.25" customHeight="1" thickBot="1">
      <c r="A270" s="1062" t="s">
        <v>1405</v>
      </c>
      <c r="B270" s="1056" t="s">
        <v>1308</v>
      </c>
      <c r="C270" s="1056">
        <v>3240</v>
      </c>
      <c r="D270" s="1056">
        <v>3210</v>
      </c>
      <c r="E270" s="1056">
        <v>3390</v>
      </c>
      <c r="F270" s="1074">
        <v>820</v>
      </c>
      <c r="H270" s="1081"/>
    </row>
    <row r="271" spans="1:8" s="1050" customFormat="1" ht="14.25" customHeight="1" thickBot="1">
      <c r="A271" s="1062" t="s">
        <v>1405</v>
      </c>
      <c r="B271" s="1056" t="s">
        <v>1315</v>
      </c>
      <c r="C271" s="1056">
        <v>3300</v>
      </c>
      <c r="D271" s="1056">
        <v>3270</v>
      </c>
      <c r="E271" s="1056">
        <v>3380</v>
      </c>
      <c r="F271" s="1074">
        <v>750</v>
      </c>
      <c r="H271" s="1081"/>
    </row>
    <row r="272" spans="1:8" s="1050" customFormat="1" ht="14.25" customHeight="1" thickBot="1">
      <c r="A272" s="1062" t="s">
        <v>1405</v>
      </c>
      <c r="B272" s="1056" t="s">
        <v>1322</v>
      </c>
      <c r="C272" s="1084"/>
      <c r="D272" s="1084"/>
      <c r="E272" s="1084"/>
      <c r="F272" s="1074">
        <v>740</v>
      </c>
      <c r="H272" s="1081"/>
    </row>
    <row r="273" spans="1:8" s="1050" customFormat="1" ht="14.25" customHeight="1" thickBot="1">
      <c r="A273" s="1062" t="s">
        <v>1405</v>
      </c>
      <c r="B273" s="1056" t="s">
        <v>1326</v>
      </c>
      <c r="C273" s="1056">
        <v>3130</v>
      </c>
      <c r="D273" s="1056">
        <v>3100</v>
      </c>
      <c r="E273" s="1056">
        <v>3230</v>
      </c>
      <c r="F273" s="1074">
        <v>700</v>
      </c>
      <c r="H273" s="1081"/>
    </row>
    <row r="274" spans="1:8" s="1050" customFormat="1" ht="14.25" customHeight="1" thickBot="1">
      <c r="A274" s="1062" t="s">
        <v>1405</v>
      </c>
      <c r="B274" s="1056" t="s">
        <v>1331</v>
      </c>
      <c r="C274" s="1056">
        <v>3460</v>
      </c>
      <c r="D274" s="1056">
        <v>3430</v>
      </c>
      <c r="E274" s="1056">
        <v>3560</v>
      </c>
      <c r="F274" s="1074">
        <v>690</v>
      </c>
      <c r="H274" s="1081"/>
    </row>
    <row r="275" spans="1:8" s="1050" customFormat="1" ht="14.25" customHeight="1" thickBot="1">
      <c r="A275" s="1062" t="s">
        <v>1405</v>
      </c>
      <c r="B275" s="1056" t="s">
        <v>1336</v>
      </c>
      <c r="C275" s="1056">
        <v>4040</v>
      </c>
      <c r="D275" s="1056">
        <v>4020</v>
      </c>
      <c r="E275" s="1056">
        <v>4160</v>
      </c>
      <c r="F275" s="1074">
        <v>820</v>
      </c>
      <c r="H275" s="1081"/>
    </row>
    <row r="276" spans="1:8" s="1050" customFormat="1" ht="14.25" customHeight="1" thickBot="1">
      <c r="A276" s="1062" t="s">
        <v>1405</v>
      </c>
      <c r="B276" s="1056" t="s">
        <v>1341</v>
      </c>
      <c r="C276" s="1056">
        <v>3270</v>
      </c>
      <c r="D276" s="1056">
        <v>3240</v>
      </c>
      <c r="E276" s="1056">
        <v>3350</v>
      </c>
      <c r="F276" s="1074">
        <v>680</v>
      </c>
      <c r="H276" s="1081"/>
    </row>
    <row r="277" spans="1:8" s="1050" customFormat="1" ht="14.25" customHeight="1" thickBot="1">
      <c r="A277" s="1062" t="s">
        <v>1405</v>
      </c>
      <c r="B277" s="1056" t="s">
        <v>1346</v>
      </c>
      <c r="C277" s="1056">
        <v>2930</v>
      </c>
      <c r="D277" s="1056">
        <v>2900</v>
      </c>
      <c r="E277" s="1056">
        <v>3000</v>
      </c>
      <c r="F277" s="1074">
        <v>640</v>
      </c>
      <c r="H277" s="1081"/>
    </row>
    <row r="278" spans="1:8" s="1050" customFormat="1" ht="14.25" customHeight="1" thickBot="1">
      <c r="A278" s="1062" t="s">
        <v>1405</v>
      </c>
      <c r="B278" s="1056" t="s">
        <v>1351</v>
      </c>
      <c r="C278" s="1056">
        <v>4080</v>
      </c>
      <c r="D278" s="1056">
        <v>4030</v>
      </c>
      <c r="E278" s="1056">
        <v>4140</v>
      </c>
      <c r="F278" s="1074">
        <v>850</v>
      </c>
      <c r="H278" s="1081"/>
    </row>
    <row r="279" spans="1:8" s="1050" customFormat="1" ht="14.25" customHeight="1" thickBot="1">
      <c r="A279" s="1062" t="s">
        <v>1405</v>
      </c>
      <c r="B279" s="1056" t="s">
        <v>1355</v>
      </c>
      <c r="C279" s="1056"/>
      <c r="D279" s="1056"/>
      <c r="E279" s="1056"/>
      <c r="F279" s="1074">
        <v>760</v>
      </c>
      <c r="H279" s="1081"/>
    </row>
    <row r="280" spans="1:8" s="1050" customFormat="1" ht="14.25" customHeight="1" thickBot="1">
      <c r="A280" s="1062" t="s">
        <v>1405</v>
      </c>
      <c r="B280" s="1056" t="s">
        <v>1359</v>
      </c>
      <c r="C280" s="1056"/>
      <c r="D280" s="1056"/>
      <c r="E280" s="1056"/>
      <c r="F280" s="1074">
        <v>760</v>
      </c>
      <c r="H280" s="1081"/>
    </row>
    <row r="281" spans="1:8" s="1050" customFormat="1" ht="14.25" customHeight="1" thickBot="1">
      <c r="A281" s="1062" t="s">
        <v>1405</v>
      </c>
      <c r="B281" s="1056" t="s">
        <v>1363</v>
      </c>
      <c r="C281" s="1056"/>
      <c r="D281" s="1056"/>
      <c r="E281" s="1056"/>
      <c r="F281" s="1074">
        <v>780</v>
      </c>
      <c r="H281" s="1081"/>
    </row>
    <row r="282" spans="1:8" s="1050" customFormat="1" ht="14.25" customHeight="1" thickBot="1">
      <c r="A282" s="1062" t="s">
        <v>1405</v>
      </c>
      <c r="B282" s="1056" t="s">
        <v>1367</v>
      </c>
      <c r="C282" s="1056"/>
      <c r="D282" s="1056"/>
      <c r="E282" s="1056"/>
      <c r="F282" s="1074">
        <v>730</v>
      </c>
      <c r="H282" s="1081"/>
    </row>
    <row r="283" spans="1:8" s="1050" customFormat="1" ht="14.25" customHeight="1" thickBot="1">
      <c r="A283" s="1062" t="s">
        <v>1405</v>
      </c>
      <c r="B283" s="1056" t="s">
        <v>1371</v>
      </c>
      <c r="C283" s="1056"/>
      <c r="D283" s="1056"/>
      <c r="E283" s="1056"/>
      <c r="F283" s="1074">
        <v>770</v>
      </c>
      <c r="H283" s="1081"/>
    </row>
    <row r="284" spans="1:8" s="1050" customFormat="1" ht="14.25" customHeight="1" thickBot="1">
      <c r="A284" s="1062" t="s">
        <v>1405</v>
      </c>
      <c r="B284" s="1056" t="s">
        <v>1374</v>
      </c>
      <c r="C284" s="1056"/>
      <c r="D284" s="1056"/>
      <c r="E284" s="1056"/>
      <c r="F284" s="1074">
        <v>640</v>
      </c>
      <c r="H284" s="1081"/>
    </row>
    <row r="285" spans="1:8" s="1050" customFormat="1" ht="14.25" customHeight="1" thickBot="1">
      <c r="A285" s="1062" t="s">
        <v>1405</v>
      </c>
      <c r="B285" s="1056" t="s">
        <v>1377</v>
      </c>
      <c r="C285" s="1056"/>
      <c r="D285" s="1056"/>
      <c r="E285" s="1056"/>
      <c r="F285" s="1074">
        <v>640</v>
      </c>
      <c r="H285" s="1081"/>
    </row>
    <row r="286" spans="1:8" s="1050" customFormat="1" ht="14.25" customHeight="1" thickBot="1">
      <c r="A286" s="1062" t="s">
        <v>1405</v>
      </c>
      <c r="B286" s="1056" t="s">
        <v>1380</v>
      </c>
      <c r="C286" s="1056"/>
      <c r="D286" s="1056"/>
      <c r="E286" s="1056"/>
      <c r="F286" s="1074">
        <v>850</v>
      </c>
      <c r="H286" s="1081"/>
    </row>
    <row r="287" spans="1:8" s="1050" customFormat="1" ht="14.25" customHeight="1" thickBot="1">
      <c r="A287" s="1062" t="s">
        <v>1405</v>
      </c>
      <c r="B287" s="1056" t="s">
        <v>1383</v>
      </c>
      <c r="C287" s="1056"/>
      <c r="D287" s="1056"/>
      <c r="E287" s="1056"/>
      <c r="F287" s="1074">
        <v>760</v>
      </c>
      <c r="H287" s="1081"/>
    </row>
    <row r="288" spans="1:8" s="1050" customFormat="1" ht="14.25" customHeight="1" thickBot="1">
      <c r="A288" s="1062" t="s">
        <v>1405</v>
      </c>
      <c r="B288" s="1056" t="s">
        <v>1386</v>
      </c>
      <c r="C288" s="1056"/>
      <c r="D288" s="1056"/>
      <c r="E288" s="1056"/>
      <c r="F288" s="1074">
        <v>830</v>
      </c>
      <c r="H288" s="1081"/>
    </row>
    <row r="289" spans="1:8" s="1050" customFormat="1" ht="14.25" customHeight="1" thickBot="1">
      <c r="A289" s="1062" t="s">
        <v>1405</v>
      </c>
      <c r="B289" s="1072" t="s">
        <v>1389</v>
      </c>
      <c r="C289" s="1072"/>
      <c r="D289" s="1072"/>
      <c r="E289" s="1072"/>
      <c r="F289" s="1082">
        <v>680</v>
      </c>
      <c r="H289" s="1081"/>
    </row>
    <row r="290" spans="1:8" s="1050" customFormat="1" ht="14.25" customHeight="1" thickBot="1">
      <c r="A290" s="1062" t="s">
        <v>1409</v>
      </c>
      <c r="B290" s="1063" t="s">
        <v>1410</v>
      </c>
      <c r="C290" s="1063">
        <v>2770</v>
      </c>
      <c r="D290" s="1063">
        <v>2740</v>
      </c>
      <c r="E290" s="1063">
        <v>2720</v>
      </c>
      <c r="F290" s="1085"/>
      <c r="H290" s="1081"/>
    </row>
    <row r="291" spans="1:8" s="1050" customFormat="1" ht="14.25" customHeight="1" thickBot="1">
      <c r="A291" s="1062" t="s">
        <v>1409</v>
      </c>
      <c r="B291" s="1056" t="s">
        <v>1069</v>
      </c>
      <c r="C291" s="1056">
        <v>2670</v>
      </c>
      <c r="D291" s="1056">
        <v>2640</v>
      </c>
      <c r="E291" s="1056">
        <v>2620</v>
      </c>
      <c r="F291" s="1083"/>
      <c r="H291" s="1081"/>
    </row>
    <row r="292" spans="1:8" s="1050" customFormat="1" ht="14.25" customHeight="1" thickBot="1">
      <c r="A292" s="1062" t="s">
        <v>1409</v>
      </c>
      <c r="B292" s="1056" t="s">
        <v>1411</v>
      </c>
      <c r="C292" s="1056">
        <v>2180</v>
      </c>
      <c r="D292" s="1056">
        <v>2140</v>
      </c>
      <c r="E292" s="1056">
        <v>2120</v>
      </c>
      <c r="F292" s="1074">
        <v>490</v>
      </c>
      <c r="H292" s="1081"/>
    </row>
    <row r="293" spans="1:8" s="1050" customFormat="1" ht="14.25" customHeight="1" thickBot="1">
      <c r="A293" s="1062" t="s">
        <v>1409</v>
      </c>
      <c r="B293" s="1056" t="s">
        <v>1412</v>
      </c>
      <c r="C293" s="1056"/>
      <c r="D293" s="1056"/>
      <c r="E293" s="1056"/>
      <c r="F293" s="1074">
        <v>470</v>
      </c>
      <c r="H293" s="1081"/>
    </row>
    <row r="294" spans="1:8" s="1050" customFormat="1" ht="14.25" customHeight="1" thickBot="1">
      <c r="A294" s="1062" t="s">
        <v>1409</v>
      </c>
      <c r="B294" s="1056" t="s">
        <v>1413</v>
      </c>
      <c r="C294" s="1056">
        <v>2730</v>
      </c>
      <c r="D294" s="1056">
        <v>2700</v>
      </c>
      <c r="E294" s="1056">
        <v>2680</v>
      </c>
      <c r="F294" s="1074">
        <v>490</v>
      </c>
      <c r="H294" s="1081"/>
    </row>
    <row r="295" spans="1:8" s="1050" customFormat="1" ht="14.25" customHeight="1" thickBot="1">
      <c r="A295" s="1062" t="s">
        <v>1409</v>
      </c>
      <c r="B295" s="1056" t="s">
        <v>1110</v>
      </c>
      <c r="C295" s="1056">
        <v>2380</v>
      </c>
      <c r="D295" s="1056">
        <v>2350</v>
      </c>
      <c r="E295" s="1056">
        <v>2330</v>
      </c>
      <c r="F295" s="1074">
        <v>530</v>
      </c>
      <c r="H295" s="1081"/>
    </row>
    <row r="296" spans="1:8" s="1050" customFormat="1" ht="14.25" customHeight="1" thickBot="1">
      <c r="A296" s="1062" t="s">
        <v>1409</v>
      </c>
      <c r="B296" s="1056" t="s">
        <v>1121</v>
      </c>
      <c r="C296" s="1056">
        <v>2650</v>
      </c>
      <c r="D296" s="1056">
        <v>2620</v>
      </c>
      <c r="E296" s="1056">
        <v>2590</v>
      </c>
      <c r="F296" s="1074">
        <v>590</v>
      </c>
      <c r="H296" s="1081"/>
    </row>
    <row r="297" spans="1:8" s="1050" customFormat="1" ht="14.25" customHeight="1" thickBot="1">
      <c r="A297" s="1062" t="s">
        <v>1409</v>
      </c>
      <c r="B297" s="1056" t="s">
        <v>1132</v>
      </c>
      <c r="C297" s="1056">
        <v>2700</v>
      </c>
      <c r="D297" s="1056">
        <v>2670</v>
      </c>
      <c r="E297" s="1056">
        <v>2650</v>
      </c>
      <c r="F297" s="1074">
        <v>630</v>
      </c>
      <c r="H297" s="1081"/>
    </row>
    <row r="298" spans="1:8" s="1050" customFormat="1" ht="14.25" customHeight="1" thickBot="1">
      <c r="A298" s="1062" t="s">
        <v>1409</v>
      </c>
      <c r="B298" s="1056" t="s">
        <v>1143</v>
      </c>
      <c r="C298" s="1056">
        <v>2650</v>
      </c>
      <c r="D298" s="1056">
        <v>2620</v>
      </c>
      <c r="E298" s="1056">
        <v>2590</v>
      </c>
      <c r="F298" s="1074">
        <v>640</v>
      </c>
      <c r="H298" s="1081"/>
    </row>
    <row r="299" spans="1:8" s="1050" customFormat="1" ht="14.25" customHeight="1" thickBot="1">
      <c r="A299" s="1062" t="s">
        <v>1409</v>
      </c>
      <c r="B299" s="1056" t="s">
        <v>1155</v>
      </c>
      <c r="C299" s="1056">
        <v>2500</v>
      </c>
      <c r="D299" s="1056">
        <v>2480</v>
      </c>
      <c r="E299" s="1056">
        <v>2460</v>
      </c>
      <c r="F299" s="1083"/>
      <c r="H299" s="1081"/>
    </row>
    <row r="300" spans="1:8" s="1050" customFormat="1" ht="14.25" customHeight="1" thickBot="1">
      <c r="A300" s="1062" t="s">
        <v>1409</v>
      </c>
      <c r="B300" s="1056" t="s">
        <v>1165</v>
      </c>
      <c r="C300" s="1056">
        <v>2760</v>
      </c>
      <c r="D300" s="1056">
        <v>2730</v>
      </c>
      <c r="E300" s="1056">
        <v>2700</v>
      </c>
      <c r="F300" s="1074">
        <v>630</v>
      </c>
      <c r="H300" s="1081"/>
    </row>
    <row r="301" spans="1:8" s="1050" customFormat="1" ht="14.25" customHeight="1" thickBot="1">
      <c r="A301" s="1062" t="s">
        <v>1409</v>
      </c>
      <c r="B301" s="1056" t="s">
        <v>1175</v>
      </c>
      <c r="C301" s="1056">
        <v>2510</v>
      </c>
      <c r="D301" s="1056">
        <v>2480</v>
      </c>
      <c r="E301" s="1056">
        <v>2460</v>
      </c>
      <c r="F301" s="1083"/>
      <c r="H301" s="1081"/>
    </row>
    <row r="302" spans="1:8" s="1050" customFormat="1" ht="14.25" customHeight="1" thickBot="1">
      <c r="A302" s="1062" t="s">
        <v>1409</v>
      </c>
      <c r="B302" s="1056" t="s">
        <v>1185</v>
      </c>
      <c r="C302" s="1056">
        <v>2480</v>
      </c>
      <c r="D302" s="1056">
        <v>2450</v>
      </c>
      <c r="E302" s="1056">
        <v>2420</v>
      </c>
      <c r="F302" s="1074">
        <v>600</v>
      </c>
      <c r="H302" s="1081"/>
    </row>
    <row r="303" spans="1:8" s="1050" customFormat="1" ht="14.25" customHeight="1" thickBot="1">
      <c r="A303" s="1062" t="s">
        <v>1409</v>
      </c>
      <c r="B303" s="1056" t="s">
        <v>1195</v>
      </c>
      <c r="C303" s="1056">
        <v>2270</v>
      </c>
      <c r="D303" s="1056">
        <v>2240</v>
      </c>
      <c r="E303" s="1056">
        <v>2210</v>
      </c>
      <c r="F303" s="1074">
        <v>540</v>
      </c>
      <c r="H303" s="1081"/>
    </row>
    <row r="304" spans="1:8" s="1050" customFormat="1" ht="14.25" customHeight="1" thickBot="1">
      <c r="A304" s="1062" t="s">
        <v>1409</v>
      </c>
      <c r="B304" s="1056" t="s">
        <v>1205</v>
      </c>
      <c r="C304" s="1056">
        <v>2310</v>
      </c>
      <c r="D304" s="1056">
        <v>2290</v>
      </c>
      <c r="E304" s="1056">
        <v>2270</v>
      </c>
      <c r="F304" s="1083"/>
      <c r="H304" s="1081"/>
    </row>
    <row r="305" spans="1:8" s="1050" customFormat="1" ht="14.25" customHeight="1" thickBot="1">
      <c r="A305" s="1062" t="s">
        <v>1409</v>
      </c>
      <c r="B305" s="1056" t="s">
        <v>1215</v>
      </c>
      <c r="C305" s="1056">
        <v>2490</v>
      </c>
      <c r="D305" s="1056">
        <v>2470</v>
      </c>
      <c r="E305" s="1056">
        <v>2440</v>
      </c>
      <c r="F305" s="1074">
        <v>560</v>
      </c>
      <c r="H305" s="1081"/>
    </row>
    <row r="306" spans="1:8" s="1050" customFormat="1" ht="14.25" customHeight="1" thickBot="1">
      <c r="A306" s="1062" t="s">
        <v>1409</v>
      </c>
      <c r="B306" s="1056" t="s">
        <v>1225</v>
      </c>
      <c r="C306" s="1056">
        <v>2420</v>
      </c>
      <c r="D306" s="1056">
        <v>2400</v>
      </c>
      <c r="E306" s="1056">
        <v>2380</v>
      </c>
      <c r="F306" s="1083"/>
      <c r="H306" s="1081"/>
    </row>
    <row r="307" spans="1:8" s="1050" customFormat="1" ht="14.25" customHeight="1" thickBot="1">
      <c r="A307" s="1062" t="s">
        <v>1409</v>
      </c>
      <c r="B307" s="1056" t="s">
        <v>1235</v>
      </c>
      <c r="C307" s="1056">
        <v>2770</v>
      </c>
      <c r="D307" s="1056">
        <v>2740</v>
      </c>
      <c r="E307" s="1056">
        <v>2710</v>
      </c>
      <c r="F307" s="1074">
        <v>650</v>
      </c>
      <c r="H307" s="1081"/>
    </row>
    <row r="308" spans="1:8" s="1050" customFormat="1" ht="14.25" customHeight="1" thickBot="1">
      <c r="A308" s="1062" t="s">
        <v>1409</v>
      </c>
      <c r="B308" s="1056" t="s">
        <v>1245</v>
      </c>
      <c r="C308" s="1056">
        <v>2610</v>
      </c>
      <c r="D308" s="1056">
        <v>2580</v>
      </c>
      <c r="E308" s="1056">
        <v>2550</v>
      </c>
      <c r="F308" s="1074">
        <v>580</v>
      </c>
      <c r="H308" s="1081"/>
    </row>
    <row r="309" spans="1:8" s="1050" customFormat="1" ht="14.25" customHeight="1" thickBot="1">
      <c r="A309" s="1062" t="s">
        <v>1409</v>
      </c>
      <c r="B309" s="1056" t="s">
        <v>1255</v>
      </c>
      <c r="C309" s="1056">
        <v>2690</v>
      </c>
      <c r="D309" s="1056">
        <v>2670</v>
      </c>
      <c r="E309" s="1056">
        <v>2650</v>
      </c>
      <c r="F309" s="1083"/>
      <c r="H309" s="1081"/>
    </row>
    <row r="310" spans="1:8" s="1050" customFormat="1" ht="14.25" customHeight="1" thickBot="1">
      <c r="A310" s="1062" t="s">
        <v>1409</v>
      </c>
      <c r="B310" s="1056" t="s">
        <v>1264</v>
      </c>
      <c r="C310" s="1056">
        <v>2360</v>
      </c>
      <c r="D310" s="1056">
        <v>2330</v>
      </c>
      <c r="E310" s="1056">
        <v>2310</v>
      </c>
      <c r="F310" s="1074">
        <v>560</v>
      </c>
      <c r="H310" s="1081"/>
    </row>
    <row r="311" spans="1:8" s="1050" customFormat="1" ht="14.25" customHeight="1" thickBot="1">
      <c r="A311" s="1062" t="s">
        <v>1409</v>
      </c>
      <c r="B311" s="1056" t="s">
        <v>1273</v>
      </c>
      <c r="C311" s="1056">
        <v>1970</v>
      </c>
      <c r="D311" s="1056">
        <v>1950</v>
      </c>
      <c r="E311" s="1056">
        <v>1920</v>
      </c>
      <c r="F311" s="1074">
        <v>470</v>
      </c>
      <c r="H311" s="1081"/>
    </row>
    <row r="312" spans="1:8" s="1050" customFormat="1" ht="14.25" customHeight="1" thickBot="1">
      <c r="A312" s="1062" t="s">
        <v>1409</v>
      </c>
      <c r="B312" s="1056" t="s">
        <v>1281</v>
      </c>
      <c r="C312" s="1056">
        <v>2230</v>
      </c>
      <c r="D312" s="1056">
        <v>2200</v>
      </c>
      <c r="E312" s="1056">
        <v>2170</v>
      </c>
      <c r="F312" s="1074">
        <v>460</v>
      </c>
      <c r="H312" s="1081"/>
    </row>
    <row r="313" spans="1:8" s="1050" customFormat="1" ht="14.25" customHeight="1" thickBot="1">
      <c r="A313" s="1062" t="s">
        <v>1409</v>
      </c>
      <c r="B313" s="1056" t="s">
        <v>1288</v>
      </c>
      <c r="C313" s="1056">
        <v>2770</v>
      </c>
      <c r="D313" s="1056">
        <v>2740</v>
      </c>
      <c r="E313" s="1056">
        <v>2710</v>
      </c>
      <c r="F313" s="1074">
        <v>610</v>
      </c>
      <c r="H313" s="1081"/>
    </row>
    <row r="314" spans="1:8" s="1050" customFormat="1" ht="14.25" customHeight="1" thickBot="1">
      <c r="A314" s="1062" t="s">
        <v>1409</v>
      </c>
      <c r="B314" s="1056" t="s">
        <v>1295</v>
      </c>
      <c r="C314" s="1056"/>
      <c r="D314" s="1056"/>
      <c r="E314" s="1056"/>
      <c r="F314" s="1074">
        <v>490</v>
      </c>
      <c r="H314" s="1081"/>
    </row>
    <row r="315" spans="1:8" s="1050" customFormat="1" ht="14.25" customHeight="1" thickBot="1">
      <c r="A315" s="1062" t="s">
        <v>1409</v>
      </c>
      <c r="B315" s="1056" t="s">
        <v>1302</v>
      </c>
      <c r="C315" s="1056"/>
      <c r="D315" s="1056"/>
      <c r="E315" s="1056"/>
      <c r="F315" s="1074">
        <v>520</v>
      </c>
      <c r="H315" s="1081"/>
    </row>
    <row r="316" spans="1:8" s="1050" customFormat="1" ht="14.25" customHeight="1" thickBot="1">
      <c r="A316" s="1062" t="s">
        <v>1409</v>
      </c>
      <c r="B316" s="1072" t="s">
        <v>1309</v>
      </c>
      <c r="C316" s="1072"/>
      <c r="D316" s="1072"/>
      <c r="E316" s="1072"/>
      <c r="F316" s="1082">
        <v>460</v>
      </c>
      <c r="H316" s="1081"/>
    </row>
    <row r="317" spans="1:8" s="1050" customFormat="1" ht="14.25" customHeight="1" thickBot="1">
      <c r="A317" s="1062" t="s">
        <v>907</v>
      </c>
      <c r="B317" s="1063" t="s">
        <v>1414</v>
      </c>
      <c r="C317" s="1063">
        <v>1200</v>
      </c>
      <c r="D317" s="1063">
        <v>1180</v>
      </c>
      <c r="E317" s="1063">
        <v>1160</v>
      </c>
      <c r="F317" s="1064">
        <v>370</v>
      </c>
      <c r="H317" s="1047"/>
    </row>
    <row r="318" spans="1:8" s="1050" customFormat="1" ht="14.25" customHeight="1" thickBot="1">
      <c r="A318" s="1062" t="s">
        <v>907</v>
      </c>
      <c r="B318" s="1056" t="s">
        <v>1415</v>
      </c>
      <c r="C318" s="1056">
        <v>1090</v>
      </c>
      <c r="D318" s="1056">
        <v>1060</v>
      </c>
      <c r="E318" s="1056">
        <v>1040</v>
      </c>
      <c r="F318" s="1083"/>
      <c r="H318" s="1047"/>
    </row>
    <row r="319" spans="1:8" s="1050" customFormat="1" ht="14.25" customHeight="1" thickBot="1">
      <c r="A319" s="1062" t="s">
        <v>907</v>
      </c>
      <c r="B319" s="1056" t="s">
        <v>1416</v>
      </c>
      <c r="C319" s="1056">
        <v>1520</v>
      </c>
      <c r="D319" s="1056">
        <v>1470</v>
      </c>
      <c r="E319" s="1056">
        <v>1440</v>
      </c>
      <c r="F319" s="1074">
        <v>370</v>
      </c>
      <c r="H319" s="1047"/>
    </row>
    <row r="320" spans="1:8" s="1050" customFormat="1" ht="14.25" customHeight="1" thickBot="1">
      <c r="A320" s="1062" t="s">
        <v>907</v>
      </c>
      <c r="B320" s="1056" t="s">
        <v>1097</v>
      </c>
      <c r="C320" s="1056">
        <v>1360</v>
      </c>
      <c r="D320" s="1056">
        <v>1300</v>
      </c>
      <c r="E320" s="1056">
        <v>1270</v>
      </c>
      <c r="F320" s="1083"/>
      <c r="H320" s="1047"/>
    </row>
    <row r="321" spans="1:8" s="1050" customFormat="1" ht="14.25" customHeight="1" thickBot="1">
      <c r="A321" s="1062" t="s">
        <v>907</v>
      </c>
      <c r="B321" s="1056" t="s">
        <v>1111</v>
      </c>
      <c r="C321" s="1056">
        <v>1750</v>
      </c>
      <c r="D321" s="1056">
        <v>1690</v>
      </c>
      <c r="E321" s="1056">
        <v>1660</v>
      </c>
      <c r="F321" s="1083"/>
      <c r="H321" s="1047"/>
    </row>
    <row r="322" spans="1:8" s="1050" customFormat="1" ht="14.25" customHeight="1" thickBot="1">
      <c r="A322" s="1062" t="s">
        <v>907</v>
      </c>
      <c r="B322" s="1056" t="s">
        <v>1122</v>
      </c>
      <c r="C322" s="1056">
        <v>1650</v>
      </c>
      <c r="D322" s="1056">
        <v>1610</v>
      </c>
      <c r="E322" s="1056">
        <v>1580</v>
      </c>
      <c r="F322" s="1074">
        <v>500</v>
      </c>
      <c r="H322" s="1047"/>
    </row>
    <row r="323" spans="1:8" s="1050" customFormat="1" ht="14.25" customHeight="1" thickBot="1">
      <c r="A323" s="1062" t="s">
        <v>907</v>
      </c>
      <c r="B323" s="1056" t="s">
        <v>1133</v>
      </c>
      <c r="C323" s="1056">
        <v>1780</v>
      </c>
      <c r="D323" s="1056">
        <v>1740</v>
      </c>
      <c r="E323" s="1056">
        <v>1720</v>
      </c>
      <c r="F323" s="1083"/>
      <c r="H323" s="1047"/>
    </row>
    <row r="324" spans="1:8" s="1050" customFormat="1" ht="14.25" customHeight="1" thickBot="1">
      <c r="A324" s="1062" t="s">
        <v>907</v>
      </c>
      <c r="B324" s="1056" t="s">
        <v>1144</v>
      </c>
      <c r="C324" s="1056">
        <v>1650</v>
      </c>
      <c r="D324" s="1056">
        <v>1610</v>
      </c>
      <c r="E324" s="1056">
        <v>1580</v>
      </c>
      <c r="F324" s="1083"/>
      <c r="H324" s="1047"/>
    </row>
    <row r="325" spans="1:8" s="1050" customFormat="1" ht="14.25" customHeight="1" thickBot="1">
      <c r="A325" s="1062" t="s">
        <v>907</v>
      </c>
      <c r="B325" s="1056" t="s">
        <v>1156</v>
      </c>
      <c r="C325" s="1056">
        <v>1330</v>
      </c>
      <c r="D325" s="1056">
        <v>1270</v>
      </c>
      <c r="E325" s="1056">
        <v>1240</v>
      </c>
      <c r="F325" s="1074">
        <v>430</v>
      </c>
      <c r="H325" s="1047"/>
    </row>
    <row r="326" spans="1:8" s="1050" customFormat="1" ht="14.25" customHeight="1" thickBot="1">
      <c r="A326" s="1062" t="s">
        <v>907</v>
      </c>
      <c r="B326" s="1056" t="s">
        <v>1166</v>
      </c>
      <c r="C326" s="1056">
        <v>1470</v>
      </c>
      <c r="D326" s="1056">
        <v>1430</v>
      </c>
      <c r="E326" s="1056">
        <v>1400</v>
      </c>
      <c r="F326" s="1083"/>
      <c r="H326" s="1047"/>
    </row>
    <row r="327" spans="1:8" s="1050" customFormat="1" ht="14.25" customHeight="1" thickBot="1">
      <c r="A327" s="1062" t="s">
        <v>907</v>
      </c>
      <c r="B327" s="1056" t="s">
        <v>1176</v>
      </c>
      <c r="C327" s="1056">
        <v>1420</v>
      </c>
      <c r="D327" s="1056">
        <v>1380</v>
      </c>
      <c r="E327" s="1056">
        <v>1360</v>
      </c>
      <c r="F327" s="1074">
        <v>420</v>
      </c>
      <c r="H327" s="1047"/>
    </row>
    <row r="328" spans="1:8" s="1050" customFormat="1" ht="14.25" customHeight="1" thickBot="1">
      <c r="A328" s="1062" t="s">
        <v>907</v>
      </c>
      <c r="B328" s="1056" t="s">
        <v>1186</v>
      </c>
      <c r="C328" s="1056">
        <v>1400</v>
      </c>
      <c r="D328" s="1056">
        <v>1360</v>
      </c>
      <c r="E328" s="1056">
        <v>1330</v>
      </c>
      <c r="F328" s="1074">
        <v>460</v>
      </c>
      <c r="H328" s="1047"/>
    </row>
    <row r="329" spans="1:8" s="1050" customFormat="1" ht="14.25" customHeight="1" thickBot="1">
      <c r="A329" s="1062" t="s">
        <v>907</v>
      </c>
      <c r="B329" s="1056" t="s">
        <v>1196</v>
      </c>
      <c r="C329" s="1056">
        <v>1640</v>
      </c>
      <c r="D329" s="1056">
        <v>1610</v>
      </c>
      <c r="E329" s="1056">
        <v>1580</v>
      </c>
      <c r="F329" s="1074">
        <v>410</v>
      </c>
      <c r="H329" s="1047"/>
    </row>
    <row r="330" spans="1:8" s="1050" customFormat="1" ht="14.25" customHeight="1" thickBot="1">
      <c r="A330" s="1062" t="s">
        <v>907</v>
      </c>
      <c r="B330" s="1056" t="s">
        <v>1206</v>
      </c>
      <c r="C330" s="1056">
        <v>1260</v>
      </c>
      <c r="D330" s="1056">
        <v>1220</v>
      </c>
      <c r="E330" s="1056">
        <v>1200</v>
      </c>
      <c r="F330" s="1083"/>
      <c r="H330" s="1047"/>
    </row>
    <row r="331" spans="1:8" s="1050" customFormat="1" ht="14.25" customHeight="1" thickBot="1">
      <c r="A331" s="1062" t="s">
        <v>907</v>
      </c>
      <c r="B331" s="1056" t="s">
        <v>1216</v>
      </c>
      <c r="C331" s="1056">
        <v>1620</v>
      </c>
      <c r="D331" s="1056">
        <v>1560</v>
      </c>
      <c r="E331" s="1056">
        <v>1530</v>
      </c>
      <c r="F331" s="1074">
        <v>490</v>
      </c>
      <c r="H331" s="1047"/>
    </row>
    <row r="332" spans="1:8" s="1050" customFormat="1" ht="14.25" customHeight="1" thickBot="1">
      <c r="A332" s="1062" t="s">
        <v>907</v>
      </c>
      <c r="B332" s="1056" t="s">
        <v>1226</v>
      </c>
      <c r="C332" s="1056">
        <v>1520</v>
      </c>
      <c r="D332" s="1056">
        <v>1470</v>
      </c>
      <c r="E332" s="1056">
        <v>1440</v>
      </c>
      <c r="F332" s="1074">
        <v>440</v>
      </c>
      <c r="H332" s="1047"/>
    </row>
    <row r="333" spans="1:8" s="1050" customFormat="1" ht="14.25" customHeight="1" thickBot="1">
      <c r="A333" s="1062" t="s">
        <v>907</v>
      </c>
      <c r="B333" s="1056" t="s">
        <v>1236</v>
      </c>
      <c r="C333" s="1056">
        <v>1370</v>
      </c>
      <c r="D333" s="1056">
        <v>1320</v>
      </c>
      <c r="E333" s="1056">
        <v>1300</v>
      </c>
      <c r="F333" s="1074">
        <v>460</v>
      </c>
      <c r="H333" s="1047"/>
    </row>
    <row r="334" spans="1:8" s="1050" customFormat="1" ht="14.25" customHeight="1" thickBot="1">
      <c r="A334" s="1062" t="s">
        <v>907</v>
      </c>
      <c r="B334" s="1056" t="s">
        <v>1246</v>
      </c>
      <c r="C334" s="1056">
        <v>1410</v>
      </c>
      <c r="D334" s="1056">
        <v>1340</v>
      </c>
      <c r="E334" s="1056">
        <v>1310</v>
      </c>
      <c r="F334" s="1074">
        <v>410</v>
      </c>
      <c r="H334" s="1047"/>
    </row>
    <row r="335" spans="1:8" s="1050" customFormat="1" ht="14.25" customHeight="1" thickBot="1">
      <c r="A335" s="1062" t="s">
        <v>907</v>
      </c>
      <c r="B335" s="1056" t="s">
        <v>1256</v>
      </c>
      <c r="C335" s="1056">
        <v>1260</v>
      </c>
      <c r="D335" s="1056">
        <v>1220</v>
      </c>
      <c r="E335" s="1056">
        <v>1200</v>
      </c>
      <c r="F335" s="1083"/>
      <c r="H335" s="1047"/>
    </row>
    <row r="336" spans="1:8" s="1050" customFormat="1" ht="14.25" customHeight="1" thickBot="1">
      <c r="A336" s="1062" t="s">
        <v>907</v>
      </c>
      <c r="B336" s="1056" t="s">
        <v>1265</v>
      </c>
      <c r="C336" s="1056">
        <v>1160</v>
      </c>
      <c r="D336" s="1056">
        <v>1140</v>
      </c>
      <c r="E336" s="1056">
        <v>1120</v>
      </c>
      <c r="F336" s="1074">
        <v>430</v>
      </c>
      <c r="H336" s="1047"/>
    </row>
    <row r="337" spans="1:8" s="1050" customFormat="1" ht="14.25" customHeight="1" thickBot="1">
      <c r="A337" s="1062" t="s">
        <v>907</v>
      </c>
      <c r="B337" s="1072" t="s">
        <v>1274</v>
      </c>
      <c r="C337" s="1072"/>
      <c r="D337" s="1072"/>
      <c r="E337" s="1072"/>
      <c r="F337" s="1082">
        <v>380</v>
      </c>
      <c r="H337" s="1047"/>
    </row>
    <row r="338" spans="1:8" s="1050" customFormat="1" ht="14.25" customHeight="1" thickBot="1">
      <c r="A338" s="1062" t="s">
        <v>908</v>
      </c>
      <c r="B338" s="1063" t="s">
        <v>1417</v>
      </c>
      <c r="C338" s="1063">
        <v>880</v>
      </c>
      <c r="D338" s="1063">
        <v>850</v>
      </c>
      <c r="E338" s="1063">
        <v>830</v>
      </c>
      <c r="F338" s="1085"/>
      <c r="H338" s="1047"/>
    </row>
    <row r="339" spans="1:8" s="1050" customFormat="1" ht="14.25" customHeight="1" thickBot="1">
      <c r="A339" s="1062" t="s">
        <v>908</v>
      </c>
      <c r="B339" s="1056" t="s">
        <v>1418</v>
      </c>
      <c r="C339" s="1056">
        <v>830</v>
      </c>
      <c r="D339" s="1056">
        <v>800</v>
      </c>
      <c r="E339" s="1056">
        <v>780</v>
      </c>
      <c r="F339" s="1083"/>
      <c r="H339" s="1047"/>
    </row>
    <row r="340" spans="1:8" s="1050" customFormat="1" ht="14.25" customHeight="1" thickBot="1">
      <c r="A340" s="1062" t="s">
        <v>908</v>
      </c>
      <c r="B340" s="1056" t="s">
        <v>1419</v>
      </c>
      <c r="C340" s="1056">
        <v>980</v>
      </c>
      <c r="D340" s="1056">
        <v>950</v>
      </c>
      <c r="E340" s="1056">
        <v>920</v>
      </c>
      <c r="F340" s="1083"/>
      <c r="H340" s="1047"/>
    </row>
    <row r="341" spans="1:8" s="1050" customFormat="1" ht="14.25" customHeight="1" thickBot="1">
      <c r="A341" s="1062" t="s">
        <v>908</v>
      </c>
      <c r="B341" s="1056" t="s">
        <v>1420</v>
      </c>
      <c r="C341" s="1056">
        <v>760</v>
      </c>
      <c r="D341" s="1056">
        <v>720</v>
      </c>
      <c r="E341" s="1056">
        <v>690</v>
      </c>
      <c r="F341" s="1074">
        <v>350</v>
      </c>
      <c r="H341" s="1047"/>
    </row>
    <row r="342" spans="1:8" s="1050" customFormat="1" ht="14.25" customHeight="1" thickBot="1">
      <c r="A342" s="1062" t="s">
        <v>908</v>
      </c>
      <c r="B342" s="1056" t="s">
        <v>1112</v>
      </c>
      <c r="C342" s="1056">
        <v>910</v>
      </c>
      <c r="D342" s="1056">
        <v>870</v>
      </c>
      <c r="E342" s="1056">
        <v>850</v>
      </c>
      <c r="F342" s="1074">
        <v>370</v>
      </c>
      <c r="H342" s="1047"/>
    </row>
    <row r="343" spans="1:8" s="1050" customFormat="1" ht="14.25" customHeight="1" thickBot="1">
      <c r="A343" s="1062" t="s">
        <v>908</v>
      </c>
      <c r="B343" s="1056" t="s">
        <v>1123</v>
      </c>
      <c r="C343" s="1056">
        <v>800</v>
      </c>
      <c r="D343" s="1056">
        <v>760</v>
      </c>
      <c r="E343" s="1056">
        <v>730</v>
      </c>
      <c r="F343" s="1074">
        <v>340</v>
      </c>
      <c r="H343" s="1047"/>
    </row>
    <row r="344" spans="1:8" s="1050" customFormat="1" ht="14.25" customHeight="1" thickBot="1">
      <c r="A344" s="1062" t="s">
        <v>908</v>
      </c>
      <c r="B344" s="1072" t="s">
        <v>1134</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872</v>
      </c>
      <c r="B1" s="995"/>
      <c r="C1" s="995"/>
      <c r="D1" s="995"/>
      <c r="E1" s="995"/>
      <c r="F1" s="995"/>
      <c r="G1" s="995"/>
      <c r="H1" s="995"/>
      <c r="I1" s="995"/>
      <c r="J1" s="995"/>
      <c r="K1" s="995"/>
      <c r="L1" s="995"/>
      <c r="M1" s="995"/>
      <c r="N1" s="995"/>
    </row>
    <row r="2" spans="1:14">
      <c r="A2" s="997" t="s">
        <v>873</v>
      </c>
      <c r="B2" s="998" t="s">
        <v>874</v>
      </c>
      <c r="C2" s="998" t="s">
        <v>875</v>
      </c>
      <c r="D2" s="998" t="s">
        <v>876</v>
      </c>
      <c r="E2" s="998" t="s">
        <v>877</v>
      </c>
      <c r="F2" s="998" t="s">
        <v>878</v>
      </c>
      <c r="G2" s="998" t="s">
        <v>879</v>
      </c>
      <c r="H2" s="999" t="s">
        <v>880</v>
      </c>
      <c r="I2" s="999" t="s">
        <v>881</v>
      </c>
      <c r="J2" s="1000" t="s">
        <v>882</v>
      </c>
      <c r="K2" s="1000" t="s">
        <v>883</v>
      </c>
      <c r="L2" s="1000" t="s">
        <v>884</v>
      </c>
      <c r="M2" s="1000" t="s">
        <v>885</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894</v>
      </c>
      <c r="B103" s="995"/>
      <c r="C103" s="995"/>
      <c r="D103" s="995"/>
      <c r="E103" s="995"/>
      <c r="F103" s="995"/>
      <c r="G103" s="995"/>
      <c r="H103" s="995"/>
      <c r="I103" s="995"/>
      <c r="J103" s="995"/>
      <c r="K103" s="995"/>
      <c r="L103" s="995"/>
      <c r="M103" s="995"/>
      <c r="N103" s="995"/>
    </row>
    <row r="104" spans="1:14" ht="14.25">
      <c r="A104" s="997" t="s">
        <v>873</v>
      </c>
      <c r="B104" s="998" t="s">
        <v>874</v>
      </c>
      <c r="C104" s="998" t="s">
        <v>875</v>
      </c>
      <c r="D104" s="998" t="s">
        <v>876</v>
      </c>
      <c r="E104" s="998" t="s">
        <v>877</v>
      </c>
      <c r="F104" s="998" t="s">
        <v>878</v>
      </c>
      <c r="G104" s="998" t="s">
        <v>879</v>
      </c>
      <c r="H104" s="999" t="s">
        <v>880</v>
      </c>
      <c r="I104" s="999" t="s">
        <v>881</v>
      </c>
      <c r="J104" s="1000" t="s">
        <v>882</v>
      </c>
      <c r="K104" s="1000" t="s">
        <v>883</v>
      </c>
      <c r="L104" s="1000" t="s">
        <v>884</v>
      </c>
      <c r="M104" s="1000" t="s">
        <v>885</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895</v>
      </c>
      <c r="B205" s="995"/>
      <c r="C205" s="995"/>
      <c r="D205" s="995"/>
      <c r="E205" s="995"/>
      <c r="F205" s="995"/>
      <c r="G205" s="995"/>
      <c r="H205" s="995"/>
      <c r="I205" s="995"/>
      <c r="J205" s="995"/>
      <c r="K205" s="995"/>
      <c r="L205" s="995"/>
      <c r="M205" s="995"/>
    </row>
    <row r="206" spans="1:13">
      <c r="A206" s="997" t="s">
        <v>896</v>
      </c>
      <c r="B206" s="998" t="s">
        <v>897</v>
      </c>
      <c r="C206" s="998" t="s">
        <v>898</v>
      </c>
      <c r="D206" s="998" t="s">
        <v>899</v>
      </c>
      <c r="E206" s="998" t="s">
        <v>900</v>
      </c>
      <c r="F206" s="998" t="s">
        <v>901</v>
      </c>
      <c r="G206" s="998" t="s">
        <v>902</v>
      </c>
      <c r="H206" s="999" t="s">
        <v>903</v>
      </c>
      <c r="I206" s="999" t="s">
        <v>904</v>
      </c>
      <c r="J206" s="1000" t="s">
        <v>905</v>
      </c>
      <c r="K206" s="1000" t="s">
        <v>906</v>
      </c>
      <c r="L206" s="1000" t="s">
        <v>907</v>
      </c>
      <c r="M206" s="1000" t="s">
        <v>908</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909</v>
      </c>
      <c r="B307" s="995"/>
      <c r="C307" s="995"/>
      <c r="D307" s="995"/>
      <c r="E307" s="995"/>
      <c r="F307" s="995"/>
      <c r="G307" s="995"/>
      <c r="H307" s="995"/>
      <c r="I307" s="995"/>
      <c r="J307" s="995"/>
      <c r="K307" s="995"/>
      <c r="L307" s="995"/>
      <c r="M307" s="995"/>
    </row>
    <row r="308" spans="1:13">
      <c r="A308" s="997" t="s">
        <v>896</v>
      </c>
      <c r="B308" s="998" t="s">
        <v>897</v>
      </c>
      <c r="C308" s="998" t="s">
        <v>898</v>
      </c>
      <c r="D308" s="998" t="s">
        <v>899</v>
      </c>
      <c r="E308" s="998" t="s">
        <v>900</v>
      </c>
      <c r="F308" s="998" t="s">
        <v>901</v>
      </c>
      <c r="G308" s="998" t="s">
        <v>902</v>
      </c>
      <c r="H308" s="999" t="s">
        <v>903</v>
      </c>
      <c r="I308" s="999" t="s">
        <v>904</v>
      </c>
      <c r="J308" s="1000" t="s">
        <v>905</v>
      </c>
      <c r="K308" s="1000" t="s">
        <v>906</v>
      </c>
      <c r="L308" s="1000" t="s">
        <v>907</v>
      </c>
      <c r="M308" s="1000" t="s">
        <v>908</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33" t="s">
        <v>2066</v>
      </c>
      <c r="B1" s="3733"/>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6"/>
  <sheetViews>
    <sheetView zoomScale="80" zoomScaleNormal="80" workbookViewId="0">
      <selection activeCell="S5" sqref="S5:V5"/>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741" t="s">
        <v>2554</v>
      </c>
      <c r="C1" s="3741"/>
      <c r="D1" s="3741"/>
      <c r="E1" s="3741"/>
      <c r="F1" s="3741"/>
      <c r="G1" s="3740" t="s">
        <v>2555</v>
      </c>
      <c r="H1" s="3740"/>
      <c r="I1" s="3740"/>
      <c r="J1" s="3740"/>
      <c r="K1" s="3740"/>
      <c r="L1" s="3740"/>
      <c r="N1" s="3740" t="s">
        <v>2556</v>
      </c>
      <c r="O1" s="3740"/>
      <c r="P1" s="3740"/>
      <c r="Q1" s="3740"/>
      <c r="S1" s="3740" t="s">
        <v>2557</v>
      </c>
      <c r="T1" s="3740"/>
      <c r="U1" s="3740"/>
      <c r="V1" s="3740"/>
      <c r="X1" s="3739" t="s">
        <v>2617</v>
      </c>
      <c r="Y1" s="3740"/>
      <c r="Z1" s="3740"/>
      <c r="AA1" s="3740"/>
      <c r="AB1" s="3740"/>
      <c r="AD1" s="3739" t="s">
        <v>2621</v>
      </c>
      <c r="AE1" s="3740"/>
      <c r="AF1" s="3740"/>
      <c r="AG1" s="3740"/>
      <c r="AH1" s="3740"/>
    </row>
    <row r="2" spans="1:34" s="2862" customFormat="1" ht="14.25" thickBot="1">
      <c r="B2" s="2863" t="s">
        <v>2558</v>
      </c>
      <c r="C2" s="2863" t="s">
        <v>2619</v>
      </c>
      <c r="D2" s="2864" t="s">
        <v>1634</v>
      </c>
      <c r="E2" s="2864" t="s">
        <v>1937</v>
      </c>
      <c r="F2" s="2863" t="s">
        <v>2620</v>
      </c>
      <c r="G2" s="2865"/>
      <c r="I2" s="2863" t="s">
        <v>2915</v>
      </c>
      <c r="J2" s="2864" t="s">
        <v>2917</v>
      </c>
      <c r="K2" s="2864" t="s">
        <v>2918</v>
      </c>
      <c r="L2" s="2863" t="s">
        <v>2919</v>
      </c>
      <c r="N2" s="2863" t="s">
        <v>2558</v>
      </c>
      <c r="O2" s="2864" t="s">
        <v>2916</v>
      </c>
      <c r="P2" s="2864" t="s">
        <v>1937</v>
      </c>
      <c r="Q2" s="2863" t="s">
        <v>2620</v>
      </c>
      <c r="S2" s="2863" t="s">
        <v>2558</v>
      </c>
      <c r="T2" s="2864" t="s">
        <v>2916</v>
      </c>
      <c r="U2" s="2864" t="s">
        <v>1937</v>
      </c>
      <c r="V2" s="2863" t="s">
        <v>2620</v>
      </c>
      <c r="X2" s="2863" t="s">
        <v>2558</v>
      </c>
      <c r="Y2" s="2863" t="s">
        <v>2619</v>
      </c>
      <c r="Z2" s="2864" t="s">
        <v>1634</v>
      </c>
      <c r="AA2" s="2864" t="s">
        <v>1937</v>
      </c>
      <c r="AB2" s="2863" t="s">
        <v>2620</v>
      </c>
      <c r="AD2" s="2863" t="s">
        <v>2558</v>
      </c>
      <c r="AE2" s="2863" t="s">
        <v>2619</v>
      </c>
      <c r="AF2" s="2864" t="s">
        <v>1634</v>
      </c>
      <c r="AG2" s="2864" t="s">
        <v>1937</v>
      </c>
      <c r="AH2" s="2863" t="s">
        <v>2620</v>
      </c>
    </row>
    <row r="3" spans="1:34" s="2872" customFormat="1" ht="14.25">
      <c r="A3" s="2866" t="s">
        <v>2926</v>
      </c>
      <c r="B3" s="2867"/>
      <c r="C3" s="2867"/>
      <c r="D3" s="2868"/>
      <c r="E3" s="2868"/>
      <c r="F3" s="2867"/>
      <c r="G3" s="2869"/>
      <c r="H3" s="2870"/>
      <c r="I3" s="2871">
        <f>ROUND(AVERAGE($I4:$I33),2)</f>
        <v>1.68</v>
      </c>
      <c r="J3" s="2871">
        <f>ROUND(AVERAGE($J4:$J33),2)</f>
        <v>1.1000000000000001</v>
      </c>
      <c r="K3" s="2871">
        <f>ROUND(AVERAGE($K4:$K33),2)</f>
        <v>1.85</v>
      </c>
      <c r="L3" s="2871">
        <f>ROUND(AVERAGE($L4:$L33),2)</f>
        <v>1.19</v>
      </c>
      <c r="N3" s="2869"/>
      <c r="S3" s="2869"/>
      <c r="W3" s="2873"/>
      <c r="X3" s="2874">
        <f>ROUND(SUMPRODUCT(PRODUCT(1+N3:N$32)),4)</f>
        <v>1.571</v>
      </c>
      <c r="Y3" s="2874">
        <f>ROUND(SUMPRODUCT(PRODUCT(1+O3:O$32)),4)</f>
        <v>1.3420000000000001</v>
      </c>
      <c r="Z3" s="2874">
        <f t="shared" ref="Z3:Z30" si="0">Y3</f>
        <v>1.3420000000000001</v>
      </c>
      <c r="AA3" s="2874">
        <f>ROUND(SUMPRODUCT(PRODUCT(1+P3:P$32)),4)</f>
        <v>1.6415999999999999</v>
      </c>
      <c r="AB3" s="2874">
        <f>ROUND(SUMPRODUCT(PRODUCT(1+Q3:Q$32)),4)</f>
        <v>1.389</v>
      </c>
      <c r="AD3" s="2875">
        <f>ROUND(AVERAGE(I3:I$33)/100,4)</f>
        <v>1.6799999999999999E-2</v>
      </c>
      <c r="AE3" s="2875">
        <f>ROUND(AVERAGE(J3:J$33)/100,4)</f>
        <v>1.0999999999999999E-2</v>
      </c>
      <c r="AF3" s="2875">
        <f t="shared" ref="AF3:AF31" si="1">AE3</f>
        <v>1.0999999999999999E-2</v>
      </c>
      <c r="AG3" s="2875">
        <f>ROUND(AVERAGE(K3:K$33)/100,4)</f>
        <v>1.8499999999999999E-2</v>
      </c>
      <c r="AH3" s="2875">
        <f>ROUND(AVERAGE(L3:L$33)/100,4)</f>
        <v>1.1900000000000001E-2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2994</v>
      </c>
      <c r="B5" s="2886">
        <f t="shared" ref="B5" si="2">B6*(1+N5)</f>
        <v>483.1434279321756</v>
      </c>
      <c r="C5" s="2886">
        <f t="shared" ref="C5" si="3">C6*(1+O5)</f>
        <v>345.93622669144776</v>
      </c>
      <c r="D5" s="2886">
        <f t="shared" ref="D5" si="4">C5</f>
        <v>345.93622669144776</v>
      </c>
      <c r="E5" s="2886">
        <f t="shared" ref="E5" si="5">E6*(1+P5)</f>
        <v>694.24498562544113</v>
      </c>
      <c r="F5" s="2886">
        <f t="shared" ref="F5" si="6">F6*(1+Q5)</f>
        <v>319.35475932716082</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2927</v>
      </c>
      <c r="X5" s="2893">
        <f>ROUND(IF(项目基本情况!B5="出让",SUMPRODUCT(PRODUCT(1+N5:N$33)),SUMPRODUCT(PRODUCT(1+N5:N$32))),4)</f>
        <v>1.571</v>
      </c>
      <c r="Y5" s="2893">
        <f>ROUND(IF(项目基本情况!B5="出让",SUMPRODUCT(PRODUCT(1+O5:O$33)),SUMPRODUCT(PRODUCT(1+O5:O$32))),4)</f>
        <v>1.3420000000000001</v>
      </c>
      <c r="Z5" s="2893">
        <f t="shared" ref="Z5" si="11">Y5</f>
        <v>1.3420000000000001</v>
      </c>
      <c r="AA5" s="2893">
        <f>ROUND(IF(项目基本情况!B5="出让",SUMPRODUCT(PRODUCT(1+P5:P$33)),SUMPRODUCT(PRODUCT(1+P5:P$32))),4)</f>
        <v>1.6415999999999999</v>
      </c>
      <c r="AB5" s="2893">
        <f>ROUND(IF(项目基本情况!B5="出让",SUMPRODUCT(PRODUCT(1+Q5:Q$33)),SUMPRODUCT(PRODUCT(1+Q5:Q$32))),4)</f>
        <v>1.389</v>
      </c>
      <c r="AD5" s="2894">
        <f>ROUND(AVERAGE(I5:I$33)/100,4)</f>
        <v>1.6799999999999999E-2</v>
      </c>
      <c r="AE5" s="2894">
        <f>ROUND(AVERAGE(J5:J$33)/100,4)</f>
        <v>1.0999999999999999E-2</v>
      </c>
      <c r="AF5" s="2894">
        <f t="shared" ref="AF5" si="12">AE5</f>
        <v>1.0999999999999999E-2</v>
      </c>
      <c r="AG5" s="2894">
        <f>ROUND(AVERAGE(K5:K$33)/100,4)</f>
        <v>1.8499999999999999E-2</v>
      </c>
      <c r="AH5" s="2894">
        <f>ROUND(AVERAGE(L5:L$33)/100,4)</f>
        <v>1.1900000000000001E-2</v>
      </c>
    </row>
    <row r="6" spans="1:34" s="2902" customFormat="1">
      <c r="A6" s="2895" t="s">
        <v>2995</v>
      </c>
      <c r="B6" s="2896">
        <f t="shared" ref="B6" si="13">B7*(1+N6)</f>
        <v>483.1434279321756</v>
      </c>
      <c r="C6" s="2896">
        <f t="shared" ref="C6" si="14">C7*(1+O6)</f>
        <v>345.93622669144776</v>
      </c>
      <c r="D6" s="2896">
        <f t="shared" ref="D6" si="15">C6</f>
        <v>345.93622669144776</v>
      </c>
      <c r="E6" s="2896">
        <f t="shared" ref="E6" si="16">E7*(1+P6)</f>
        <v>694.24498562544113</v>
      </c>
      <c r="F6" s="2896">
        <f t="shared" ref="F6" si="17">F7*(1+Q6)</f>
        <v>319.35475932716082</v>
      </c>
      <c r="G6" s="2879">
        <v>2020</v>
      </c>
      <c r="H6" s="2897">
        <v>4</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ROUND(IF(项目基本情况!B6="出让",SUMPRODUCT(PRODUCT(1+N6:N$33)),SUMPRODUCT(PRODUCT(1+N6:N$32))),4)</f>
        <v>1.571</v>
      </c>
      <c r="Y6" s="2883">
        <f>ROUND(IF(项目基本情况!B6="出让",SUMPRODUCT(PRODUCT(1+O6:O$33)),SUMPRODUCT(PRODUCT(1+O6:O$32))),4)</f>
        <v>1.3420000000000001</v>
      </c>
      <c r="Z6" s="2883">
        <f t="shared" ref="Z6" si="22">Y6</f>
        <v>1.3420000000000001</v>
      </c>
      <c r="AA6" s="2883">
        <f>ROUND(IF(项目基本情况!B6="出让",SUMPRODUCT(PRODUCT(1+P6:P$33)),SUMPRODUCT(PRODUCT(1+P6:P$32))),4)</f>
        <v>1.6415999999999999</v>
      </c>
      <c r="AB6" s="2883">
        <f>ROUND(IF(项目基本情况!B6="出让",SUMPRODUCT(PRODUCT(1+Q6:Q$33)),SUMPRODUCT(PRODUCT(1+Q6:Q$32))),4)</f>
        <v>1.389</v>
      </c>
      <c r="AC6" s="2883"/>
      <c r="AD6" s="2884">
        <f>ROUND(AVERAGE(I6:I$33)/100,4)</f>
        <v>1.7399999999999999E-2</v>
      </c>
      <c r="AE6" s="2884">
        <f>ROUND(AVERAGE(J6:J$33)/100,4)</f>
        <v>1.14E-2</v>
      </c>
      <c r="AF6" s="2884">
        <f t="shared" ref="AF6" si="23">AE6</f>
        <v>1.14E-2</v>
      </c>
      <c r="AG6" s="2884">
        <f>ROUND(AVERAGE(K6:K$33)/100,4)</f>
        <v>1.9199999999999998E-2</v>
      </c>
      <c r="AH6" s="2884">
        <f>ROUND(AVERAGE(L6:L$33)/100,4)</f>
        <v>1.23E-2</v>
      </c>
    </row>
    <row r="7" spans="1:34" s="2902" customFormat="1">
      <c r="A7" s="2895" t="s">
        <v>2993</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2956</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2954</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2951</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2950</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2947</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2946</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2943</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735">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2936</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735"/>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2937</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735"/>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2933</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736"/>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2925</v>
      </c>
      <c r="B18" s="2912">
        <v>439</v>
      </c>
      <c r="C18" s="2912">
        <v>327</v>
      </c>
      <c r="D18" s="2912">
        <f t="shared" si="131"/>
        <v>327</v>
      </c>
      <c r="E18" s="2912">
        <v>627</v>
      </c>
      <c r="F18" s="2913">
        <v>283</v>
      </c>
      <c r="G18" s="3734">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2928</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735"/>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2559</v>
      </c>
      <c r="B20" s="2896">
        <f t="shared" si="143"/>
        <v>419.31181600000002</v>
      </c>
      <c r="C20" s="2896">
        <f t="shared" si="143"/>
        <v>313.95436800000004</v>
      </c>
      <c r="D20" s="2896">
        <f t="shared" si="131"/>
        <v>313.95436800000004</v>
      </c>
      <c r="E20" s="2896">
        <f t="shared" si="144"/>
        <v>596.63028431999999</v>
      </c>
      <c r="F20" s="2896">
        <f t="shared" si="144"/>
        <v>274.74220703999998</v>
      </c>
      <c r="G20" s="3735"/>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2560</v>
      </c>
      <c r="B21" s="2896">
        <f t="shared" si="143"/>
        <v>405.524</v>
      </c>
      <c r="C21" s="2896">
        <f t="shared" si="143"/>
        <v>307.79840000000002</v>
      </c>
      <c r="D21" s="2896">
        <f t="shared" si="131"/>
        <v>307.79840000000002</v>
      </c>
      <c r="E21" s="2896">
        <f t="shared" si="144"/>
        <v>574.67759999999998</v>
      </c>
      <c r="F21" s="2896">
        <f t="shared" si="144"/>
        <v>270.20280000000002</v>
      </c>
      <c r="G21" s="3736"/>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960</v>
      </c>
      <c r="B22" s="2917">
        <v>392</v>
      </c>
      <c r="C22" s="2917">
        <v>302</v>
      </c>
      <c r="D22" s="2917">
        <f t="shared" si="131"/>
        <v>302</v>
      </c>
      <c r="E22" s="2917">
        <v>553</v>
      </c>
      <c r="F22" s="2918">
        <v>266</v>
      </c>
      <c r="G22" s="3734">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959</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735"/>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949</v>
      </c>
      <c r="B24" s="2896">
        <f t="shared" si="152"/>
        <v>360.06949782209392</v>
      </c>
      <c r="C24" s="2896">
        <f t="shared" si="152"/>
        <v>289.84672674747821</v>
      </c>
      <c r="D24" s="2896">
        <f t="shared" si="153"/>
        <v>289.84672674747821</v>
      </c>
      <c r="E24" s="2896">
        <f t="shared" si="154"/>
        <v>501.06543001181495</v>
      </c>
      <c r="F24" s="2896">
        <f t="shared" si="154"/>
        <v>256.82882500744967</v>
      </c>
      <c r="G24" s="3735"/>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958</v>
      </c>
      <c r="B25" s="2896">
        <f t="shared" si="152"/>
        <v>346.720748986128</v>
      </c>
      <c r="C25" s="2896">
        <f t="shared" si="152"/>
        <v>284.30282172386285</v>
      </c>
      <c r="D25" s="2896">
        <f t="shared" si="153"/>
        <v>284.30282172386285</v>
      </c>
      <c r="E25" s="2896">
        <f t="shared" si="154"/>
        <v>479.58023546306947</v>
      </c>
      <c r="F25" s="2896">
        <f t="shared" si="154"/>
        <v>253.25788877571213</v>
      </c>
      <c r="G25" s="3738"/>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957</v>
      </c>
      <c r="B26" s="2917">
        <v>333</v>
      </c>
      <c r="C26" s="2917">
        <v>277</v>
      </c>
      <c r="D26" s="2917">
        <f t="shared" si="153"/>
        <v>277</v>
      </c>
      <c r="E26" s="2917">
        <v>459</v>
      </c>
      <c r="F26" s="2918">
        <v>249</v>
      </c>
      <c r="G26" s="3737">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956</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735"/>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955</v>
      </c>
      <c r="B28" s="2896">
        <f t="shared" si="156"/>
        <v>322.34053690220776</v>
      </c>
      <c r="C28" s="2896">
        <f t="shared" si="156"/>
        <v>271.46160770422546</v>
      </c>
      <c r="D28" s="2896">
        <f t="shared" si="153"/>
        <v>271.46160770422546</v>
      </c>
      <c r="E28" s="2896">
        <f t="shared" si="157"/>
        <v>442.69434542172456</v>
      </c>
      <c r="F28" s="2896">
        <f t="shared" si="157"/>
        <v>241.34030753190925</v>
      </c>
      <c r="G28" s="3735"/>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954</v>
      </c>
      <c r="B29" s="2896">
        <f t="shared" si="156"/>
        <v>319.87748030386797</v>
      </c>
      <c r="C29" s="2896">
        <f t="shared" si="156"/>
        <v>269.60135833173649</v>
      </c>
      <c r="D29" s="2896">
        <f t="shared" si="153"/>
        <v>269.60135833173649</v>
      </c>
      <c r="E29" s="2896">
        <f t="shared" si="157"/>
        <v>439.18089823583784</v>
      </c>
      <c r="F29" s="2896">
        <f t="shared" si="157"/>
        <v>239.23503918706311</v>
      </c>
      <c r="G29" s="3738"/>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953</v>
      </c>
      <c r="B30" s="2924">
        <v>318</v>
      </c>
      <c r="C30" s="2924">
        <v>268</v>
      </c>
      <c r="D30" s="2924">
        <f t="shared" si="153"/>
        <v>268</v>
      </c>
      <c r="E30" s="2924">
        <v>437</v>
      </c>
      <c r="F30" s="2925">
        <v>237</v>
      </c>
      <c r="G30" s="3737">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952</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735"/>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951</v>
      </c>
      <c r="B32" s="2896">
        <f t="shared" si="158"/>
        <v>314.72141172386546</v>
      </c>
      <c r="C32" s="2896">
        <f t="shared" si="158"/>
        <v>263.03901319069001</v>
      </c>
      <c r="D32" s="2896">
        <f t="shared" si="153"/>
        <v>263.03901319069001</v>
      </c>
      <c r="E32" s="2896">
        <f t="shared" si="159"/>
        <v>433.65745506782821</v>
      </c>
      <c r="F32" s="2896">
        <f t="shared" si="159"/>
        <v>233.23005080045735</v>
      </c>
      <c r="G32" s="3735"/>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950</v>
      </c>
      <c r="B33" s="2929">
        <f t="shared" si="158"/>
        <v>307.34512863658733</v>
      </c>
      <c r="C33" s="2929">
        <f t="shared" si="158"/>
        <v>257.80556031626975</v>
      </c>
      <c r="D33" s="2929">
        <f t="shared" si="153"/>
        <v>257.80556031626975</v>
      </c>
      <c r="E33" s="2929">
        <f t="shared" si="159"/>
        <v>422.70928459677179</v>
      </c>
      <c r="F33" s="2929">
        <f t="shared" si="159"/>
        <v>229.73803270336617</v>
      </c>
      <c r="G33" s="3738"/>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2618</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2561</v>
      </c>
      <c r="B34" s="2917">
        <v>299</v>
      </c>
      <c r="C34" s="2917">
        <v>252</v>
      </c>
      <c r="D34" s="2917">
        <f t="shared" si="153"/>
        <v>252</v>
      </c>
      <c r="E34" s="2917">
        <v>409</v>
      </c>
      <c r="F34" s="2918">
        <v>227</v>
      </c>
      <c r="G34" s="3742">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2562</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743"/>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2563</v>
      </c>
      <c r="B36" s="2896">
        <f t="shared" si="162"/>
        <v>288.2649053828776</v>
      </c>
      <c r="C36" s="2896">
        <f t="shared" si="162"/>
        <v>243.64564425013293</v>
      </c>
      <c r="D36" s="2896">
        <f t="shared" si="153"/>
        <v>243.64564425013293</v>
      </c>
      <c r="E36" s="2896">
        <f t="shared" si="163"/>
        <v>393.31080825986544</v>
      </c>
      <c r="F36" s="2896">
        <f t="shared" si="163"/>
        <v>223.07903790551154</v>
      </c>
      <c r="G36" s="3743"/>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2564</v>
      </c>
      <c r="B37" s="2896">
        <f t="shared" si="162"/>
        <v>282.50186729015837</v>
      </c>
      <c r="C37" s="2896">
        <f t="shared" si="162"/>
        <v>238.09796174155468</v>
      </c>
      <c r="D37" s="2896">
        <f t="shared" si="153"/>
        <v>238.09796174155468</v>
      </c>
      <c r="E37" s="2896">
        <f t="shared" si="163"/>
        <v>385.33438646014054</v>
      </c>
      <c r="F37" s="2896">
        <f t="shared" si="163"/>
        <v>221.55034055567739</v>
      </c>
      <c r="G37" s="3744"/>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2565</v>
      </c>
      <c r="B38" s="2945">
        <v>278</v>
      </c>
      <c r="C38" s="2945">
        <v>234</v>
      </c>
      <c r="D38" s="2945">
        <f t="shared" si="153"/>
        <v>234</v>
      </c>
      <c r="E38" s="2945">
        <v>379</v>
      </c>
      <c r="F38" s="2946">
        <v>220</v>
      </c>
      <c r="G38" s="3737">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2566</v>
      </c>
      <c r="B39" s="2896">
        <f>B38/(1+N38)</f>
        <v>275.49301357645425</v>
      </c>
      <c r="C39" s="2896">
        <f>C38/(1+O38)</f>
        <v>232.41954707985698</v>
      </c>
      <c r="D39" s="2896">
        <f t="shared" si="153"/>
        <v>232.41954707985698</v>
      </c>
      <c r="E39" s="2896">
        <f t="shared" ref="E39:F41" si="164">E38/(1+P38)</f>
        <v>375.32184591008121</v>
      </c>
      <c r="F39" s="2896">
        <f t="shared" si="164"/>
        <v>218.03766105054513</v>
      </c>
      <c r="G39" s="3735"/>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2567</v>
      </c>
      <c r="B40" s="2896">
        <f>B39/(1+N39)</f>
        <v>275.24529281292263</v>
      </c>
      <c r="C40" s="2896">
        <f>C39/(1+O39)</f>
        <v>231.74747938962707</v>
      </c>
      <c r="D40" s="2896">
        <f t="shared" si="153"/>
        <v>231.74747938962707</v>
      </c>
      <c r="E40" s="2896">
        <f t="shared" si="164"/>
        <v>375.35938184826603</v>
      </c>
      <c r="F40" s="2896">
        <f t="shared" si="164"/>
        <v>216.78033510692495</v>
      </c>
      <c r="G40" s="3735"/>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2568</v>
      </c>
      <c r="B41" s="2896">
        <f>B40/(1+N40)</f>
        <v>275.19025476197027</v>
      </c>
      <c r="C41" s="2947">
        <v>232</v>
      </c>
      <c r="D41" s="2947">
        <f t="shared" si="153"/>
        <v>232</v>
      </c>
      <c r="E41" s="2896">
        <f t="shared" si="164"/>
        <v>375.65990977608692</v>
      </c>
      <c r="F41" s="2896">
        <f t="shared" si="164"/>
        <v>214.12518283971252</v>
      </c>
      <c r="G41" s="3738"/>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2569</v>
      </c>
      <c r="B42" s="2917">
        <v>275</v>
      </c>
      <c r="C42" s="2917">
        <v>232</v>
      </c>
      <c r="D42" s="2917">
        <f t="shared" si="153"/>
        <v>232</v>
      </c>
      <c r="E42" s="2917">
        <v>376</v>
      </c>
      <c r="F42" s="2918">
        <v>213</v>
      </c>
      <c r="G42" s="3737">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2570</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735">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2571</v>
      </c>
      <c r="B44" s="2896">
        <f t="shared" si="165"/>
        <v>275.19335084830601</v>
      </c>
      <c r="C44" s="2896">
        <f t="shared" si="165"/>
        <v>230.18088050139744</v>
      </c>
      <c r="D44" s="2896">
        <f t="shared" si="153"/>
        <v>230.18088050139744</v>
      </c>
      <c r="E44" s="2896">
        <f t="shared" si="166"/>
        <v>377.58482925212331</v>
      </c>
      <c r="F44" s="2896">
        <f t="shared" si="166"/>
        <v>210.90687997847917</v>
      </c>
      <c r="G44" s="3735">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2572</v>
      </c>
      <c r="B45" s="2896">
        <f t="shared" si="165"/>
        <v>276.29854502841971</v>
      </c>
      <c r="C45" s="2896">
        <f t="shared" si="165"/>
        <v>229.79023709833027</v>
      </c>
      <c r="D45" s="2896">
        <f t="shared" si="153"/>
        <v>229.79023709833027</v>
      </c>
      <c r="E45" s="2896">
        <f t="shared" si="166"/>
        <v>379.78759731655936</v>
      </c>
      <c r="F45" s="2896">
        <f t="shared" si="166"/>
        <v>211.32953905659235</v>
      </c>
      <c r="G45" s="3738">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2573</v>
      </c>
      <c r="B46" s="2917">
        <v>269</v>
      </c>
      <c r="C46" s="2917">
        <v>221</v>
      </c>
      <c r="D46" s="2917">
        <f t="shared" si="153"/>
        <v>221</v>
      </c>
      <c r="E46" s="2917">
        <v>373</v>
      </c>
      <c r="F46" s="2918">
        <v>196</v>
      </c>
      <c r="G46" s="3737">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2574</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735">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2575</v>
      </c>
      <c r="B48" s="2896">
        <f t="shared" si="167"/>
        <v>242.95398227588385</v>
      </c>
      <c r="C48" s="2896">
        <f t="shared" si="167"/>
        <v>199.59137053614126</v>
      </c>
      <c r="D48" s="2896">
        <f t="shared" si="153"/>
        <v>199.59137053614126</v>
      </c>
      <c r="E48" s="2896">
        <f t="shared" si="168"/>
        <v>335.92189522342125</v>
      </c>
      <c r="F48" s="2896">
        <f t="shared" si="168"/>
        <v>183.10139991109489</v>
      </c>
      <c r="G48" s="3735">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2576</v>
      </c>
      <c r="B49" s="2896">
        <f t="shared" si="167"/>
        <v>232.06990378821649</v>
      </c>
      <c r="C49" s="2896">
        <f t="shared" si="167"/>
        <v>192.74878854286936</v>
      </c>
      <c r="D49" s="2896">
        <f t="shared" si="153"/>
        <v>192.74878854286936</v>
      </c>
      <c r="E49" s="2896">
        <f t="shared" si="168"/>
        <v>319.71247284992984</v>
      </c>
      <c r="F49" s="2896">
        <f t="shared" si="168"/>
        <v>175.67053622862409</v>
      </c>
      <c r="G49" s="3738">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2577</v>
      </c>
      <c r="B50" s="2917">
        <v>220</v>
      </c>
      <c r="C50" s="2917">
        <v>187</v>
      </c>
      <c r="D50" s="2917">
        <f t="shared" si="153"/>
        <v>187</v>
      </c>
      <c r="E50" s="2917">
        <v>301</v>
      </c>
      <c r="F50" s="2918">
        <v>168</v>
      </c>
      <c r="G50" s="3737">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2578</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735">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2579</v>
      </c>
      <c r="B52" s="2896">
        <f t="shared" si="169"/>
        <v>210.630522469011</v>
      </c>
      <c r="C52" s="2896">
        <f t="shared" si="169"/>
        <v>181.69567812247232</v>
      </c>
      <c r="D52" s="2896">
        <f t="shared" si="153"/>
        <v>181.69567812247232</v>
      </c>
      <c r="E52" s="2896">
        <f t="shared" si="170"/>
        <v>286.13517466736738</v>
      </c>
      <c r="F52" s="2896">
        <f t="shared" si="170"/>
        <v>165.47535084591149</v>
      </c>
      <c r="G52" s="3735">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2580</v>
      </c>
      <c r="B53" s="2896">
        <f t="shared" si="169"/>
        <v>208.83454537875372</v>
      </c>
      <c r="C53" s="2896">
        <f t="shared" si="169"/>
        <v>183.77230517090351</v>
      </c>
      <c r="D53" s="2896">
        <f t="shared" si="153"/>
        <v>183.77230517090351</v>
      </c>
      <c r="E53" s="2896">
        <f t="shared" si="170"/>
        <v>281.10342338870947</v>
      </c>
      <c r="F53" s="2896">
        <f t="shared" si="170"/>
        <v>168.97309388942256</v>
      </c>
      <c r="G53" s="3738">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2581</v>
      </c>
      <c r="B54" s="2945">
        <v>214</v>
      </c>
      <c r="C54" s="2945">
        <v>188</v>
      </c>
      <c r="D54" s="2945">
        <f t="shared" si="153"/>
        <v>188</v>
      </c>
      <c r="E54" s="2945">
        <v>289</v>
      </c>
      <c r="F54" s="2946">
        <v>166</v>
      </c>
      <c r="G54" s="3737">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2582</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735">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2583</v>
      </c>
      <c r="B56" s="2896">
        <f t="shared" si="171"/>
        <v>206.31694671589116</v>
      </c>
      <c r="C56" s="2896">
        <f t="shared" si="171"/>
        <v>183.61041121036101</v>
      </c>
      <c r="D56" s="2896">
        <f t="shared" si="153"/>
        <v>183.61041121036101</v>
      </c>
      <c r="E56" s="2896">
        <f t="shared" si="172"/>
        <v>276.66850301795557</v>
      </c>
      <c r="F56" s="2896">
        <f t="shared" si="172"/>
        <v>165.1360938278614</v>
      </c>
      <c r="G56" s="3735">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2584</v>
      </c>
      <c r="B57" s="2948">
        <f t="shared" si="171"/>
        <v>196.62341248059772</v>
      </c>
      <c r="C57" s="2948">
        <f t="shared" si="171"/>
        <v>170.99125648199012</v>
      </c>
      <c r="D57" s="2948">
        <f t="shared" si="153"/>
        <v>170.99125648199012</v>
      </c>
      <c r="E57" s="2948">
        <f t="shared" si="172"/>
        <v>266.07857570490052</v>
      </c>
      <c r="F57" s="2948">
        <f t="shared" si="172"/>
        <v>154.53499328828505</v>
      </c>
      <c r="G57" s="3738">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2585</v>
      </c>
      <c r="B58" s="2917">
        <v>188</v>
      </c>
      <c r="C58" s="2917">
        <v>165</v>
      </c>
      <c r="D58" s="2917">
        <f t="shared" si="153"/>
        <v>165</v>
      </c>
      <c r="E58" s="2917">
        <v>254</v>
      </c>
      <c r="F58" s="2918">
        <v>148</v>
      </c>
      <c r="G58" s="3737">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2586</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735">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2587</v>
      </c>
      <c r="B60" s="2896">
        <f t="shared" si="175"/>
        <v>168.82017748715555</v>
      </c>
      <c r="C60" s="2896">
        <f t="shared" si="175"/>
        <v>148.06267029972753</v>
      </c>
      <c r="D60" s="2896">
        <f t="shared" si="153"/>
        <v>148.06267029972753</v>
      </c>
      <c r="E60" s="2896">
        <f t="shared" si="176"/>
        <v>216.46288379323747</v>
      </c>
      <c r="F60" s="2896">
        <f t="shared" si="176"/>
        <v>134.23529411764704</v>
      </c>
      <c r="G60" s="3735">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2588</v>
      </c>
      <c r="B61" s="2896">
        <f t="shared" si="175"/>
        <v>163.84913591779542</v>
      </c>
      <c r="C61" s="2896">
        <f t="shared" si="175"/>
        <v>145.0283378746594</v>
      </c>
      <c r="D61" s="2896">
        <f t="shared" si="153"/>
        <v>145.0283378746594</v>
      </c>
      <c r="E61" s="2896">
        <f t="shared" si="176"/>
        <v>204.95180722891567</v>
      </c>
      <c r="F61" s="2896">
        <f t="shared" si="176"/>
        <v>125.95920303605313</v>
      </c>
      <c r="G61" s="3738">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2589</v>
      </c>
      <c r="B62" s="2924">
        <v>159</v>
      </c>
      <c r="C62" s="2924">
        <v>141</v>
      </c>
      <c r="D62" s="2924">
        <f t="shared" si="153"/>
        <v>141</v>
      </c>
      <c r="E62" s="2924">
        <v>195</v>
      </c>
      <c r="F62" s="2925">
        <v>122</v>
      </c>
      <c r="G62" s="3737">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2590</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735">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2591</v>
      </c>
      <c r="B64" s="2896">
        <f t="shared" si="179"/>
        <v>146.57412060301507</v>
      </c>
      <c r="C64" s="2896">
        <f t="shared" si="179"/>
        <v>136.46831955922866</v>
      </c>
      <c r="D64" s="2896">
        <f t="shared" si="153"/>
        <v>136.46831955922866</v>
      </c>
      <c r="E64" s="2896">
        <f t="shared" si="180"/>
        <v>166.73864894795128</v>
      </c>
      <c r="F64" s="2896">
        <f t="shared" si="180"/>
        <v>115.05882352941177</v>
      </c>
      <c r="G64" s="3735">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2592</v>
      </c>
      <c r="B65" s="2896">
        <f t="shared" si="179"/>
        <v>144.04145728643215</v>
      </c>
      <c r="C65" s="2896">
        <f t="shared" si="179"/>
        <v>136.12396694214877</v>
      </c>
      <c r="D65" s="2896">
        <f t="shared" si="153"/>
        <v>136.12396694214877</v>
      </c>
      <c r="E65" s="2896">
        <f t="shared" si="180"/>
        <v>158.32225913621264</v>
      </c>
      <c r="F65" s="2896">
        <f t="shared" si="180"/>
        <v>114.04278074866311</v>
      </c>
      <c r="G65" s="3738">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2593</v>
      </c>
      <c r="B66" s="2924">
        <v>138</v>
      </c>
      <c r="C66" s="2924">
        <v>131</v>
      </c>
      <c r="D66" s="2924">
        <f t="shared" si="153"/>
        <v>131</v>
      </c>
      <c r="E66" s="2924">
        <v>155</v>
      </c>
      <c r="F66" s="2925">
        <v>114</v>
      </c>
      <c r="G66" s="3737">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2594</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735">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2595</v>
      </c>
      <c r="B68" s="2896">
        <f t="shared" si="183"/>
        <v>124.29032258064517</v>
      </c>
      <c r="C68" s="2896">
        <f t="shared" si="183"/>
        <v>123.8968609865471</v>
      </c>
      <c r="D68" s="2896">
        <f t="shared" si="153"/>
        <v>123.8968609865471</v>
      </c>
      <c r="E68" s="2896">
        <f t="shared" si="184"/>
        <v>138.00507614213197</v>
      </c>
      <c r="F68" s="2896">
        <f t="shared" si="184"/>
        <v>107.96106557377048</v>
      </c>
      <c r="G68" s="3735">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2596</v>
      </c>
      <c r="B69" s="2896">
        <f t="shared" si="183"/>
        <v>122.57204301075269</v>
      </c>
      <c r="C69" s="2896">
        <f t="shared" si="183"/>
        <v>123.4932735426009</v>
      </c>
      <c r="D69" s="2896">
        <f t="shared" si="153"/>
        <v>123.4932735426009</v>
      </c>
      <c r="E69" s="2896">
        <f t="shared" si="184"/>
        <v>129.82233502538071</v>
      </c>
      <c r="F69" s="2896">
        <f t="shared" si="184"/>
        <v>107.39446721311475</v>
      </c>
      <c r="G69" s="3738">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2597</v>
      </c>
      <c r="B70" s="2945">
        <v>121</v>
      </c>
      <c r="C70" s="2945">
        <v>122</v>
      </c>
      <c r="D70" s="2945">
        <f t="shared" si="153"/>
        <v>122</v>
      </c>
      <c r="E70" s="2945">
        <v>124</v>
      </c>
      <c r="F70" s="2946">
        <v>107</v>
      </c>
      <c r="G70" s="3737">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2598</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735">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2599</v>
      </c>
      <c r="B72" s="2896">
        <f t="shared" si="187"/>
        <v>116.99099099099099</v>
      </c>
      <c r="C72" s="2896">
        <f t="shared" si="187"/>
        <v>118.84848484848486</v>
      </c>
      <c r="D72" s="2896">
        <f t="shared" si="153"/>
        <v>118.84848484848486</v>
      </c>
      <c r="E72" s="2896">
        <f t="shared" si="188"/>
        <v>117.60960960960961</v>
      </c>
      <c r="F72" s="2896">
        <f t="shared" si="188"/>
        <v>104</v>
      </c>
      <c r="G72" s="3735">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2600</v>
      </c>
      <c r="B73" s="2948">
        <f t="shared" si="187"/>
        <v>112.48648648648648</v>
      </c>
      <c r="C73" s="2948">
        <f t="shared" si="187"/>
        <v>115.21212121212122</v>
      </c>
      <c r="D73" s="2948">
        <f t="shared" si="153"/>
        <v>115.21212121212122</v>
      </c>
      <c r="E73" s="2948">
        <f t="shared" si="188"/>
        <v>110.4024024024024</v>
      </c>
      <c r="F73" s="2948">
        <f t="shared" si="188"/>
        <v>104</v>
      </c>
      <c r="G73" s="3738">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2601</v>
      </c>
      <c r="B74" s="2965">
        <v>111</v>
      </c>
      <c r="C74" s="2965">
        <v>114</v>
      </c>
      <c r="D74" s="2965">
        <f t="shared" si="153"/>
        <v>114</v>
      </c>
      <c r="E74" s="2965">
        <v>108</v>
      </c>
      <c r="F74" s="2966">
        <v>104</v>
      </c>
      <c r="G74" s="3737">
        <v>2003</v>
      </c>
      <c r="H74" s="2955">
        <v>4</v>
      </c>
      <c r="I74" s="2967"/>
      <c r="J74" s="2967"/>
      <c r="K74" s="2967"/>
      <c r="L74" s="2967"/>
      <c r="N74" s="2968"/>
      <c r="O74" s="2967"/>
      <c r="P74" s="2967"/>
      <c r="Q74" s="2967"/>
      <c r="S74" s="2968"/>
      <c r="T74" s="2967"/>
      <c r="U74" s="2967"/>
      <c r="V74" s="2967"/>
      <c r="X74" s="2959"/>
      <c r="Y74" s="2959"/>
      <c r="Z74" s="2959"/>
    </row>
    <row r="75" spans="1:26">
      <c r="A75" s="2895" t="s">
        <v>2602</v>
      </c>
      <c r="B75" s="2969">
        <f t="shared" ref="B75:C77" si="189">B76+(B$74-B$78)/4</f>
        <v>109.75</v>
      </c>
      <c r="C75" s="2969">
        <f t="shared" si="189"/>
        <v>112.25</v>
      </c>
      <c r="D75" s="2969">
        <f t="shared" si="153"/>
        <v>112.25</v>
      </c>
      <c r="E75" s="2969">
        <f t="shared" ref="E75:F77" si="190">E76+(E$74-E$78)/4</f>
        <v>107.25</v>
      </c>
      <c r="F75" s="2969">
        <f t="shared" si="190"/>
        <v>103.5</v>
      </c>
      <c r="G75" s="3735">
        <v>2003</v>
      </c>
      <c r="H75" s="2922">
        <v>3</v>
      </c>
      <c r="I75" s="2967"/>
      <c r="J75" s="2967"/>
      <c r="K75" s="2967"/>
      <c r="L75" s="2967"/>
      <c r="X75" s="2959"/>
      <c r="Y75" s="2959"/>
      <c r="Z75" s="2959"/>
    </row>
    <row r="76" spans="1:26">
      <c r="A76" s="2895" t="s">
        <v>2603</v>
      </c>
      <c r="B76" s="2969">
        <f t="shared" si="189"/>
        <v>108.5</v>
      </c>
      <c r="C76" s="2969">
        <f t="shared" si="189"/>
        <v>110.5</v>
      </c>
      <c r="D76" s="2969">
        <f t="shared" si="153"/>
        <v>110.5</v>
      </c>
      <c r="E76" s="2969">
        <f t="shared" si="190"/>
        <v>106.5</v>
      </c>
      <c r="F76" s="2969">
        <f t="shared" si="190"/>
        <v>103</v>
      </c>
      <c r="G76" s="3735">
        <v>2003</v>
      </c>
      <c r="H76" s="2910">
        <v>2</v>
      </c>
      <c r="I76" s="2967"/>
      <c r="J76" s="2967"/>
      <c r="K76" s="2967"/>
      <c r="L76" s="2967"/>
      <c r="X76" s="2959"/>
      <c r="Y76" s="2959"/>
      <c r="Z76" s="2959"/>
    </row>
    <row r="77" spans="1:26" ht="13.5" thickBot="1">
      <c r="A77" s="2895" t="s">
        <v>2604</v>
      </c>
      <c r="B77" s="2969">
        <f t="shared" si="189"/>
        <v>107.25</v>
      </c>
      <c r="C77" s="2969">
        <f t="shared" si="189"/>
        <v>108.75</v>
      </c>
      <c r="D77" s="2969">
        <f t="shared" si="153"/>
        <v>108.75</v>
      </c>
      <c r="E77" s="2969">
        <f t="shared" si="190"/>
        <v>105.75</v>
      </c>
      <c r="F77" s="2969">
        <f t="shared" si="190"/>
        <v>102.5</v>
      </c>
      <c r="G77" s="3738">
        <v>2003</v>
      </c>
      <c r="H77" s="2970">
        <v>1</v>
      </c>
      <c r="I77" s="2967"/>
      <c r="J77" s="2967"/>
      <c r="K77" s="2967"/>
      <c r="L77" s="2967"/>
      <c r="S77" s="2898"/>
      <c r="T77" s="2884"/>
      <c r="U77" s="2884"/>
      <c r="X77" s="2959"/>
      <c r="Y77" s="2959"/>
      <c r="Z77" s="2959"/>
    </row>
    <row r="78" spans="1:26" ht="13.5" thickBot="1">
      <c r="A78" s="2895" t="s">
        <v>2605</v>
      </c>
      <c r="B78" s="2971">
        <v>106</v>
      </c>
      <c r="C78" s="2971">
        <v>107</v>
      </c>
      <c r="D78" s="2971">
        <f t="shared" si="153"/>
        <v>107</v>
      </c>
      <c r="E78" s="2971">
        <v>105</v>
      </c>
      <c r="F78" s="2972">
        <v>102</v>
      </c>
      <c r="G78" s="3737">
        <v>2002</v>
      </c>
      <c r="H78" s="2919">
        <v>4</v>
      </c>
      <c r="I78" s="2967"/>
      <c r="J78" s="2967"/>
      <c r="K78" s="2967"/>
      <c r="L78" s="2967"/>
      <c r="N78" s="2968"/>
      <c r="O78" s="2967"/>
      <c r="P78" s="2967"/>
      <c r="Q78" s="2967"/>
      <c r="S78" s="2968"/>
      <c r="T78" s="2967"/>
      <c r="U78" s="2967"/>
      <c r="V78" s="2967"/>
      <c r="X78" s="2959"/>
      <c r="Y78" s="2959"/>
      <c r="Z78" s="2959"/>
    </row>
    <row r="79" spans="1:26">
      <c r="A79" s="2895" t="s">
        <v>2606</v>
      </c>
      <c r="B79" s="2969">
        <f t="shared" ref="B79:C81" si="191">B80+(B$78-B$82)/4</f>
        <v>105</v>
      </c>
      <c r="C79" s="2969">
        <f t="shared" si="191"/>
        <v>106</v>
      </c>
      <c r="D79" s="2969">
        <f t="shared" si="153"/>
        <v>106</v>
      </c>
      <c r="E79" s="2969">
        <f t="shared" ref="E79:F81" si="192">E80+(E$78-E$82)/4</f>
        <v>104.5</v>
      </c>
      <c r="F79" s="2969">
        <f t="shared" si="192"/>
        <v>101.5</v>
      </c>
      <c r="G79" s="3735">
        <v>2002</v>
      </c>
      <c r="H79" s="2922">
        <v>3</v>
      </c>
      <c r="I79" s="2967"/>
      <c r="J79" s="2967"/>
      <c r="K79" s="2967"/>
      <c r="L79" s="2967"/>
      <c r="X79" s="2959"/>
      <c r="Y79" s="2959"/>
      <c r="Z79" s="2959"/>
    </row>
    <row r="80" spans="1:26">
      <c r="A80" s="2895" t="s">
        <v>2607</v>
      </c>
      <c r="B80" s="2969">
        <f t="shared" si="191"/>
        <v>104</v>
      </c>
      <c r="C80" s="2969">
        <f t="shared" si="191"/>
        <v>105</v>
      </c>
      <c r="D80" s="2969">
        <f t="shared" si="153"/>
        <v>105</v>
      </c>
      <c r="E80" s="2969">
        <f t="shared" si="192"/>
        <v>104</v>
      </c>
      <c r="F80" s="2969">
        <f t="shared" si="192"/>
        <v>101</v>
      </c>
      <c r="G80" s="3735">
        <v>2002</v>
      </c>
      <c r="H80" s="2910">
        <v>2</v>
      </c>
      <c r="I80" s="2967"/>
      <c r="J80" s="2967"/>
      <c r="K80" s="2967"/>
      <c r="L80" s="2967"/>
      <c r="X80" s="2959"/>
      <c r="Y80" s="2959"/>
      <c r="Z80" s="2959"/>
    </row>
    <row r="81" spans="1:26" s="2932" customFormat="1" ht="13.5" thickBot="1">
      <c r="A81" s="2928" t="s">
        <v>2608</v>
      </c>
      <c r="B81" s="2935">
        <f t="shared" si="191"/>
        <v>103</v>
      </c>
      <c r="C81" s="2935">
        <f t="shared" si="191"/>
        <v>104</v>
      </c>
      <c r="D81" s="2935">
        <f t="shared" si="153"/>
        <v>104</v>
      </c>
      <c r="E81" s="2935">
        <f t="shared" si="192"/>
        <v>103.5</v>
      </c>
      <c r="F81" s="2935">
        <f t="shared" si="192"/>
        <v>100.5</v>
      </c>
      <c r="G81" s="3738">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2609</v>
      </c>
      <c r="G84" s="2982"/>
      <c r="N84" s="2982"/>
      <c r="S84" s="2982"/>
    </row>
    <row r="85" spans="1:26" s="2981" customFormat="1">
      <c r="A85" s="2981" t="s">
        <v>2610</v>
      </c>
      <c r="G85" s="2982"/>
      <c r="N85" s="2982"/>
      <c r="S85" s="2982"/>
    </row>
    <row r="86" spans="1:26" s="2981" customFormat="1">
      <c r="A86" s="2981" t="s">
        <v>2611</v>
      </c>
      <c r="G86" s="2982"/>
      <c r="I86" s="2983"/>
      <c r="J86" s="2983"/>
      <c r="K86" s="2983"/>
      <c r="L86" s="2983"/>
      <c r="N86" s="2984"/>
      <c r="O86" s="2983"/>
      <c r="P86" s="2983"/>
      <c r="Q86" s="2983"/>
      <c r="S86" s="2984"/>
      <c r="T86" s="2983"/>
      <c r="U86" s="2983"/>
      <c r="V86" s="2983"/>
    </row>
    <row r="87" spans="1:26" s="2981" customFormat="1">
      <c r="A87" s="2981" t="s">
        <v>2612</v>
      </c>
      <c r="G87" s="2982"/>
      <c r="N87" s="2982"/>
      <c r="S87" s="2982"/>
    </row>
    <row r="94" spans="1:26" ht="13.5" thickBot="1"/>
    <row r="95" spans="1:26">
      <c r="G95" s="2883"/>
      <c r="S95" s="2985" t="s">
        <v>2613</v>
      </c>
      <c r="T95" s="2986" t="s">
        <v>2614</v>
      </c>
      <c r="U95" s="2986" t="s">
        <v>2615</v>
      </c>
      <c r="V95" s="2986" t="s">
        <v>2616</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2909</v>
      </c>
      <c r="B1" s="3243"/>
      <c r="C1" s="3243"/>
      <c r="D1" s="3243"/>
      <c r="E1" s="3243"/>
      <c r="F1" s="3243"/>
      <c r="G1" s="3244"/>
      <c r="H1" s="3244"/>
      <c r="I1" s="3244"/>
      <c r="J1" s="3244"/>
      <c r="K1" s="3244"/>
      <c r="L1" s="3244"/>
      <c r="M1" s="3244"/>
      <c r="N1" s="3244"/>
    </row>
    <row r="2" spans="1:14" ht="14.25">
      <c r="A2" s="3249" t="s">
        <v>2904</v>
      </c>
      <c r="B2" s="3254">
        <f ca="1">SUMIF(B7:B14,"&lt;&gt;#ref!",B7:B14)</f>
        <v>0</v>
      </c>
      <c r="C2" s="3249" t="s">
        <v>2905</v>
      </c>
      <c r="D2" s="3246"/>
      <c r="E2" s="3246"/>
      <c r="F2" s="3246"/>
      <c r="G2" s="3244"/>
      <c r="H2" s="3244"/>
      <c r="I2" s="3244"/>
      <c r="J2" s="3244"/>
      <c r="K2" s="3244"/>
      <c r="L2" s="3244"/>
      <c r="M2" s="3244"/>
      <c r="N2" s="3244"/>
    </row>
    <row r="3" spans="1:14" ht="14.25">
      <c r="A3" s="3249" t="s">
        <v>2934</v>
      </c>
      <c r="B3" s="3254" t="e">
        <f ca="1">ROUND(B2*10000/E3,0)</f>
        <v>#DIV/0!</v>
      </c>
      <c r="C3" s="3249" t="s">
        <v>2065</v>
      </c>
      <c r="D3" s="3249" t="s">
        <v>2906</v>
      </c>
      <c r="E3" s="3247">
        <f ca="1">SUMIF(E7:E14,"&lt;&gt;#ref!",E7:E14)</f>
        <v>0</v>
      </c>
      <c r="F3" s="3246"/>
      <c r="G3" s="3244"/>
      <c r="H3" s="3244"/>
      <c r="I3" s="3244"/>
      <c r="J3" s="3244"/>
      <c r="K3" s="3244"/>
      <c r="L3" s="3244"/>
      <c r="M3" s="3244"/>
      <c r="N3" s="3244"/>
    </row>
    <row r="4" spans="1:14" ht="14.25">
      <c r="A4" s="3249" t="s">
        <v>2912</v>
      </c>
      <c r="B4" s="3254" t="e">
        <f ca="1">ROUND(B2*10000/E4,0)</f>
        <v>#DIV/0!</v>
      </c>
      <c r="C4" s="3249" t="s">
        <v>2065</v>
      </c>
      <c r="D4" s="3249" t="s">
        <v>2913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2910</v>
      </c>
      <c r="B6" s="3249" t="s">
        <v>2907</v>
      </c>
      <c r="C6" s="2787"/>
      <c r="D6" s="3246"/>
      <c r="E6" s="3249" t="s">
        <v>2908</v>
      </c>
      <c r="F6" s="3249" t="s">
        <v>2911</v>
      </c>
      <c r="G6" s="3244"/>
      <c r="H6" s="3244"/>
      <c r="I6" s="3244"/>
      <c r="J6" s="3244"/>
      <c r="K6" s="3244"/>
      <c r="L6" s="3244"/>
      <c r="M6" s="3244"/>
      <c r="N6" s="3244"/>
    </row>
    <row r="7" spans="1:14" ht="14.25">
      <c r="A7" s="3252"/>
      <c r="B7" s="3254" t="e">
        <f ca="1">SUMIF(INDIRECT("'"&amp;A7&amp;"'"&amp;"!A:A"),"总价",INDIRECT("'"&amp;A7&amp;"'"&amp;"!B:B"))</f>
        <v>#REF!</v>
      </c>
      <c r="C7" s="3249" t="s">
        <v>2905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56.25">
      <c r="A7" s="1707" t="s">
        <v>2724</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2021年6月30日</v>
      </c>
    </row>
    <row r="12" spans="1:4" ht="18.75">
      <c r="A12" s="1709" t="s">
        <v>2012</v>
      </c>
    </row>
    <row r="13" spans="1:4" ht="18.75">
      <c r="A13" s="1703" t="s">
        <v>2902</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18.75">
      <c r="A21" s="1703" t="s">
        <v>2061</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23" spans="1:1" ht="37.5">
      <c r="A23" s="1703" t="str">
        <f>IF(项目基本情况!B16="出让","本次评估设定估价对象剩余土地使用年限为"&amp;项目基本情况!D20&amp;"。","")</f>
        <v>本次评估设定估价对象剩余土地使用年限为商业36.45年、办公36.45年、地下车库36.45年。</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2" t="s">
        <v>622</v>
      </c>
      <c r="B1" s="730"/>
      <c r="C1" s="763"/>
      <c r="D1" s="1930"/>
      <c r="E1" s="2239" t="s">
        <v>2357</v>
      </c>
      <c r="F1" s="2240">
        <f ca="1">J54</f>
        <v>-3</v>
      </c>
      <c r="G1" s="764">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623</v>
      </c>
      <c r="B2" s="765">
        <f ca="1">IF(ISERROR(C45+J31),0,C45+J31)</f>
        <v>0</v>
      </c>
      <c r="C2" s="1302"/>
      <c r="D2" s="1935"/>
      <c r="E2" s="1936"/>
      <c r="F2" s="1936"/>
      <c r="G2" s="1521"/>
      <c r="H2" s="1314"/>
      <c r="I2" s="1937"/>
      <c r="J2" s="1937"/>
      <c r="K2" s="1938"/>
      <c r="L2" s="1937"/>
      <c r="M2" s="1937"/>
    </row>
    <row r="3" spans="1:25" ht="18" customHeight="1">
      <c r="A3" s="1570" t="s">
        <v>1676</v>
      </c>
      <c r="B3" s="1336">
        <f ca="1">ROUND(B2*10000/'数据-汇总表'!E3,0)</f>
        <v>0</v>
      </c>
      <c r="C3" s="1302"/>
      <c r="D3" s="1935"/>
      <c r="E3" s="1936"/>
      <c r="F3" s="1936"/>
      <c r="G3" s="1521"/>
      <c r="H3" s="766" t="s">
        <v>689</v>
      </c>
      <c r="I3" s="1937"/>
      <c r="J3" s="1937"/>
      <c r="K3" s="1938"/>
      <c r="L3" s="1937"/>
      <c r="M3" s="1937"/>
    </row>
    <row r="4" spans="1:25" ht="18" customHeight="1">
      <c r="A4" s="1571" t="s">
        <v>690</v>
      </c>
      <c r="B4" s="1303">
        <f ca="1">ROUND(B2*10000/'数据-汇总表'!D3,0)</f>
        <v>0</v>
      </c>
      <c r="C4" s="422"/>
      <c r="D4" s="1935"/>
      <c r="E4" s="1936"/>
      <c r="F4" s="1936"/>
      <c r="G4" s="1521"/>
      <c r="H4" s="766"/>
      <c r="I4" s="1937"/>
      <c r="J4" s="1937"/>
      <c r="K4" s="1938"/>
      <c r="L4" s="1937"/>
      <c r="M4" s="1937"/>
    </row>
    <row r="5" spans="1:25" ht="18" customHeight="1" thickBot="1">
      <c r="A5" s="1572"/>
      <c r="B5" s="424">
        <f ca="1">ROUND(B2/('数据-汇总表'!D3/666.67),0)</f>
        <v>0</v>
      </c>
      <c r="C5" s="425" t="s">
        <v>691</v>
      </c>
      <c r="D5" s="1935"/>
      <c r="E5" s="1936"/>
      <c r="F5" s="1936"/>
      <c r="G5" s="1521"/>
      <c r="H5" s="766"/>
      <c r="I5" s="1937"/>
      <c r="J5" s="1937"/>
      <c r="K5" s="1938"/>
      <c r="L5" s="1937"/>
      <c r="M5" s="1937"/>
    </row>
    <row r="6" spans="1:25" ht="18" customHeight="1">
      <c r="A6" s="1740" t="s">
        <v>692</v>
      </c>
      <c r="B6" s="1732" t="s">
        <v>693</v>
      </c>
      <c r="C6" s="1732" t="s">
        <v>626</v>
      </c>
      <c r="D6" s="1732" t="s">
        <v>627</v>
      </c>
      <c r="E6" s="769" t="s">
        <v>628</v>
      </c>
      <c r="F6" s="770"/>
      <c r="G6" s="1523"/>
      <c r="H6" s="1740" t="s">
        <v>624</v>
      </c>
      <c r="I6" s="1732" t="s">
        <v>625</v>
      </c>
      <c r="J6" s="1732" t="s">
        <v>626</v>
      </c>
      <c r="K6" s="1732" t="s">
        <v>627</v>
      </c>
      <c r="L6" s="769" t="s">
        <v>628</v>
      </c>
      <c r="M6" s="770"/>
    </row>
    <row r="7" spans="1:25" ht="18" customHeight="1">
      <c r="A7" s="771">
        <v>1</v>
      </c>
      <c r="B7" s="772" t="s">
        <v>2437</v>
      </c>
      <c r="C7" s="53">
        <f ca="1">C8+C12+C14</f>
        <v>0</v>
      </c>
      <c r="D7" s="2346" t="s">
        <v>2440</v>
      </c>
      <c r="E7" s="2340"/>
      <c r="F7" s="2341"/>
      <c r="G7" s="1523"/>
      <c r="H7" s="771">
        <v>1</v>
      </c>
      <c r="I7" s="772" t="s">
        <v>2437</v>
      </c>
      <c r="J7" s="53">
        <f ca="1">J8+J12+J14</f>
        <v>0</v>
      </c>
      <c r="K7" s="2346" t="s">
        <v>2440</v>
      </c>
      <c r="L7" s="2340"/>
      <c r="M7" s="2341"/>
    </row>
    <row r="8" spans="1:25" ht="18" customHeight="1">
      <c r="A8" s="1742" t="s">
        <v>1814</v>
      </c>
      <c r="B8" s="3746" t="s">
        <v>2442</v>
      </c>
      <c r="C8" s="1737">
        <f ca="1">ROUND(F8*F10*F9*(1-F11)/10000,0)</f>
        <v>0</v>
      </c>
      <c r="D8" s="1734" t="s">
        <v>2513</v>
      </c>
      <c r="E8" s="61" t="s">
        <v>631</v>
      </c>
      <c r="F8" s="775">
        <f ca="1">INDIRECT("'数据-取费表'!u"&amp;$G$1)</f>
        <v>0</v>
      </c>
      <c r="G8" s="1523"/>
      <c r="H8" s="2354" t="s">
        <v>1814</v>
      </c>
      <c r="I8" s="3746" t="s">
        <v>2442</v>
      </c>
      <c r="J8" s="773">
        <f ca="1">ROUND(M8*M10*M9*(1-M11)/10000,0)</f>
        <v>0</v>
      </c>
      <c r="K8" s="339" t="s">
        <v>2513</v>
      </c>
      <c r="L8" s="774" t="s">
        <v>1728</v>
      </c>
      <c r="M8" s="775">
        <f ca="1">INDIRECT("'数据-取费表'!z"&amp;$G$1)</f>
        <v>0</v>
      </c>
    </row>
    <row r="9" spans="1:25" ht="18" customHeight="1">
      <c r="A9" s="2350"/>
      <c r="B9" s="3747"/>
      <c r="C9" s="1738"/>
      <c r="D9" s="1735"/>
      <c r="E9" s="61" t="s">
        <v>632</v>
      </c>
      <c r="F9" s="775">
        <f ca="1">IF(INDIRECT("'数据-取费表'!ah"&amp;$G$1)="",INDIRECT("'数据-取费表'!k"&amp;$G$1),INDIRECT("'数据-取费表'!ah"&amp;$G$1))</f>
        <v>0</v>
      </c>
      <c r="G9" s="1523"/>
      <c r="H9" s="2339"/>
      <c r="I9" s="3747"/>
      <c r="J9" s="778"/>
      <c r="K9" s="779"/>
      <c r="L9" s="774" t="s">
        <v>1729</v>
      </c>
      <c r="M9" s="775">
        <f ca="1">F9</f>
        <v>0</v>
      </c>
    </row>
    <row r="10" spans="1:25" ht="18" customHeight="1">
      <c r="A10" s="2343"/>
      <c r="B10" s="3748"/>
      <c r="C10" s="1738"/>
      <c r="D10" s="1735"/>
      <c r="E10" s="61" t="s">
        <v>633</v>
      </c>
      <c r="F10" s="775">
        <f ca="1">INDIRECT("'数据-取费表'!ai"&amp;$G$1)</f>
        <v>0</v>
      </c>
      <c r="G10" s="1523"/>
      <c r="H10" s="2339"/>
      <c r="I10" s="3748"/>
      <c r="J10" s="778"/>
      <c r="K10" s="779"/>
      <c r="L10" s="774" t="s">
        <v>1730</v>
      </c>
      <c r="M10" s="775">
        <f ca="1">INDIRECT("'数据-取费表'!ai"&amp;$G$1)</f>
        <v>0</v>
      </c>
    </row>
    <row r="11" spans="1:25" ht="18" customHeight="1">
      <c r="A11" s="776"/>
      <c r="B11" s="3749"/>
      <c r="C11" s="1738"/>
      <c r="D11" s="1735"/>
      <c r="E11" s="61" t="s">
        <v>634</v>
      </c>
      <c r="F11" s="784">
        <f ca="1">INDIRECT("'数据-取费表'!w"&amp;$G$1)</f>
        <v>0</v>
      </c>
      <c r="G11" s="1523"/>
      <c r="H11" s="2355"/>
      <c r="I11" s="3748"/>
      <c r="J11" s="778"/>
      <c r="K11" s="779"/>
      <c r="L11" s="785" t="s">
        <v>1731</v>
      </c>
      <c r="M11" s="786">
        <f ca="1">INDIRECT("'数据-取费表'!ab"&amp;$G$1)</f>
        <v>0</v>
      </c>
    </row>
    <row r="12" spans="1:25" ht="18" customHeight="1">
      <c r="A12" s="1742" t="s">
        <v>1815</v>
      </c>
      <c r="B12" s="2344" t="s">
        <v>2438</v>
      </c>
      <c r="C12" s="789">
        <f ca="1">ROUND(IF(F12="押一",C8/12*F13,IF(F12="押二",C8/12*2*F13,IF(F12="押三",C8/12*3*F13,C13*F13))),0)</f>
        <v>0</v>
      </c>
      <c r="D12" s="2351" t="s">
        <v>2931</v>
      </c>
      <c r="E12" s="2348" t="s">
        <v>2443</v>
      </c>
      <c r="F12" s="2462"/>
      <c r="G12" s="1523"/>
      <c r="H12" s="2411" t="s">
        <v>1815</v>
      </c>
      <c r="I12" s="2416" t="s">
        <v>2438</v>
      </c>
      <c r="J12" s="773">
        <f ca="1">ROUND(IF(M12="押一",J8/12*M13,IF(M12="押二",J8/12*2*M13,IF(M12="押三",J8/12*3*M13,J13*M13))),0)</f>
        <v>0</v>
      </c>
      <c r="K12" s="2351" t="s">
        <v>2931</v>
      </c>
      <c r="L12" s="2348" t="s">
        <v>2443</v>
      </c>
      <c r="M12" s="2462"/>
    </row>
    <row r="13" spans="1:25" ht="18" customHeight="1">
      <c r="A13" s="780"/>
      <c r="B13" s="2345" t="s">
        <v>2552</v>
      </c>
      <c r="C13" s="2349"/>
      <c r="D13" s="779"/>
      <c r="E13" s="2348" t="s">
        <v>2436</v>
      </c>
      <c r="F13" s="786">
        <f ca="1">'数据-取费表'!B39</f>
        <v>1.4999999999999999E-2</v>
      </c>
      <c r="G13" s="1523"/>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3"/>
      <c r="H14" s="2401" t="s">
        <v>2446</v>
      </c>
      <c r="I14" s="2414" t="s">
        <v>2439</v>
      </c>
      <c r="J14" s="2415"/>
      <c r="K14" s="2390"/>
      <c r="L14" s="2391"/>
      <c r="M14" s="2404"/>
    </row>
    <row r="15" spans="1:25" ht="18" customHeight="1" thickTop="1">
      <c r="A15" s="1741" t="s">
        <v>1864</v>
      </c>
      <c r="B15" s="1739" t="s">
        <v>635</v>
      </c>
      <c r="C15" s="782">
        <f ca="1">ROUND(C31*F15,0)</f>
        <v>0</v>
      </c>
      <c r="D15" s="1746" t="s">
        <v>636</v>
      </c>
      <c r="E15" s="785" t="s">
        <v>637</v>
      </c>
      <c r="F15" s="790">
        <f ca="1">INDIRECT("'数据-取费表'!y"&amp;$G$1)</f>
        <v>0</v>
      </c>
      <c r="G15" s="1523"/>
      <c r="H15" s="1741" t="s">
        <v>1816</v>
      </c>
      <c r="I15" s="1739" t="s">
        <v>638</v>
      </c>
      <c r="J15" s="1731">
        <f ca="1">ROUND(J16*J17,0)</f>
        <v>0</v>
      </c>
      <c r="K15" s="1733" t="s">
        <v>636</v>
      </c>
      <c r="L15" s="791"/>
      <c r="M15" s="792"/>
    </row>
    <row r="16" spans="1:25" ht="18" customHeight="1">
      <c r="A16" s="793" t="s">
        <v>1865</v>
      </c>
      <c r="B16" s="774" t="s">
        <v>639</v>
      </c>
      <c r="C16" s="794">
        <f ca="1">INDIRECT("'数据-取费表'!m"&amp;$G$1)+INDIRECT("'数据-取费表'!t"&amp;$G$1)</f>
        <v>0</v>
      </c>
      <c r="D16" s="1890" t="s">
        <v>640</v>
      </c>
      <c r="E16" s="1891"/>
      <c r="F16" s="795"/>
      <c r="G16" s="1523"/>
      <c r="H16" s="793" t="s">
        <v>2056</v>
      </c>
      <c r="I16" s="2108" t="s">
        <v>2801</v>
      </c>
      <c r="J16" s="53">
        <f ca="1">C31</f>
        <v>0</v>
      </c>
      <c r="K16" s="26"/>
      <c r="L16" s="791"/>
      <c r="M16" s="792"/>
    </row>
    <row r="17" spans="1:25" s="1944" customFormat="1" ht="18" customHeight="1">
      <c r="A17" s="793" t="s">
        <v>1839</v>
      </c>
      <c r="B17" s="774" t="s">
        <v>641</v>
      </c>
      <c r="C17" s="53">
        <f ca="1">ROUND(C16*F17,0)</f>
        <v>0</v>
      </c>
      <c r="D17" s="796" t="s">
        <v>642</v>
      </c>
      <c r="E17" s="796" t="s">
        <v>643</v>
      </c>
      <c r="F17" s="797">
        <f>'数据-取费表'!B33</f>
        <v>0.03</v>
      </c>
      <c r="G17" s="1524"/>
      <c r="H17" s="793" t="s">
        <v>2057</v>
      </c>
      <c r="I17" s="774" t="s">
        <v>637</v>
      </c>
      <c r="J17" s="798">
        <f ca="1">INDIRECT("'数据-取费表'!ad"&amp;$G$1)</f>
        <v>0</v>
      </c>
      <c r="K17" s="26"/>
      <c r="L17" s="791"/>
      <c r="M17" s="792"/>
      <c r="N17" s="1943"/>
      <c r="O17" s="1943"/>
      <c r="P17" s="1943"/>
      <c r="Q17" s="1943"/>
      <c r="R17" s="1943"/>
      <c r="S17" s="1943"/>
      <c r="T17" s="1943"/>
      <c r="U17" s="1943"/>
      <c r="V17" s="1943"/>
      <c r="W17" s="1943"/>
      <c r="X17" s="1943"/>
      <c r="Y17" s="1943"/>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3"/>
      <c r="H18" s="787" t="s">
        <v>1817</v>
      </c>
      <c r="I18" s="788" t="s">
        <v>645</v>
      </c>
      <c r="J18" s="789">
        <f ca="1">ROUND(J19+J24+J25+J26,0)</f>
        <v>0</v>
      </c>
      <c r="K18" s="26" t="s">
        <v>646</v>
      </c>
      <c r="L18" s="1893"/>
      <c r="M18" s="56"/>
    </row>
    <row r="19" spans="1:25" s="1944" customFormat="1" ht="18" customHeight="1">
      <c r="A19" s="793" t="s">
        <v>1841</v>
      </c>
      <c r="B19" s="774" t="s">
        <v>647</v>
      </c>
      <c r="C19" s="53">
        <f ca="1">ROUND(F19*(INDIRECT("'数据-取费表'!k"&amp;$G$1)+INDIRECT("'数据-取费表'!S"&amp;$G$1))/10000,0)</f>
        <v>0</v>
      </c>
      <c r="D19" s="774" t="s">
        <v>648</v>
      </c>
      <c r="E19" s="774" t="s">
        <v>649</v>
      </c>
      <c r="F19" s="56">
        <f>'数据-取费表'!B35</f>
        <v>200</v>
      </c>
      <c r="G19" s="1524"/>
      <c r="H19" s="793" t="s">
        <v>2056</v>
      </c>
      <c r="I19" s="774"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3" t="s">
        <v>1842</v>
      </c>
      <c r="B20" s="774" t="s">
        <v>653</v>
      </c>
      <c r="C20" s="53">
        <f ca="1">ROUND(C16*F20,0)</f>
        <v>0</v>
      </c>
      <c r="D20" s="774" t="s">
        <v>642</v>
      </c>
      <c r="E20" s="774" t="s">
        <v>643</v>
      </c>
      <c r="F20" s="799">
        <f>'数据-取费表'!B36</f>
        <v>1.4999999999999999E-2</v>
      </c>
      <c r="G20" s="1524"/>
      <c r="H20" s="793" t="s">
        <v>1821</v>
      </c>
      <c r="I20" s="774" t="s">
        <v>654</v>
      </c>
      <c r="J20" s="53">
        <f ca="1">ROUND(J8*M20/(1+'数据-取费表'!C42),1)</f>
        <v>0</v>
      </c>
      <c r="K20" s="1888" t="s">
        <v>655</v>
      </c>
      <c r="L20" s="774" t="s">
        <v>643</v>
      </c>
      <c r="M20" s="799">
        <f>'数据-取费表'!B41</f>
        <v>5.6000000000000001E-2</v>
      </c>
      <c r="N20" s="1943"/>
      <c r="O20" s="1943"/>
      <c r="P20" s="1943"/>
      <c r="Q20" s="1943"/>
      <c r="R20" s="1943"/>
      <c r="S20" s="1943"/>
      <c r="T20" s="1943"/>
      <c r="U20" s="1943"/>
      <c r="V20" s="1943"/>
      <c r="W20" s="1943"/>
      <c r="X20" s="1943"/>
      <c r="Y20" s="1943"/>
    </row>
    <row r="21" spans="1:25" ht="18" customHeight="1">
      <c r="A21" s="793" t="s">
        <v>1866</v>
      </c>
      <c r="B21" s="774" t="s">
        <v>656</v>
      </c>
      <c r="C21" s="53">
        <f ca="1">SUM(C16:C20)</f>
        <v>0</v>
      </c>
      <c r="D21" s="259" t="s">
        <v>657</v>
      </c>
      <c r="E21" s="1893"/>
      <c r="F21" s="56"/>
      <c r="G21" s="1523"/>
      <c r="H21" s="1742"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4" customFormat="1" ht="18" customHeight="1">
      <c r="A22" s="793" t="s">
        <v>1867</v>
      </c>
      <c r="B22" s="774" t="s">
        <v>660</v>
      </c>
      <c r="C22" s="53">
        <f ca="1">ROUND(C21*F22,0)</f>
        <v>0</v>
      </c>
      <c r="D22" s="801" t="s">
        <v>661</v>
      </c>
      <c r="E22" s="774" t="s">
        <v>643</v>
      </c>
      <c r="F22" s="799">
        <f>'数据-取费表'!B37</f>
        <v>0.02</v>
      </c>
      <c r="G22" s="1524"/>
      <c r="H22" s="1744" t="s">
        <v>1840</v>
      </c>
      <c r="I22" s="1734" t="s">
        <v>662</v>
      </c>
      <c r="J22" s="54">
        <f ca="1">ROUND(M22*M23/10000,0)</f>
        <v>0</v>
      </c>
      <c r="K22" s="803" t="s">
        <v>663</v>
      </c>
      <c r="L22" s="774" t="s">
        <v>664</v>
      </c>
      <c r="M22" s="632">
        <f>'数据-取费表'!B52</f>
        <v>6</v>
      </c>
      <c r="N22" s="1943"/>
      <c r="O22" s="1943"/>
      <c r="P22" s="1943"/>
      <c r="Q22" s="1943"/>
      <c r="R22" s="1943"/>
      <c r="S22" s="1943"/>
      <c r="T22" s="1943"/>
      <c r="U22" s="1943"/>
      <c r="V22" s="1943"/>
      <c r="W22" s="1943"/>
      <c r="X22" s="1943"/>
      <c r="Y22" s="1943"/>
    </row>
    <row r="23" spans="1:25" s="1944" customFormat="1" ht="18" customHeight="1">
      <c r="A23" s="793" t="s">
        <v>1868</v>
      </c>
      <c r="B23" s="774" t="s">
        <v>665</v>
      </c>
      <c r="C23" s="53" t="s">
        <v>1</v>
      </c>
      <c r="D23" s="801" t="s">
        <v>666</v>
      </c>
      <c r="E23" s="774" t="s">
        <v>667</v>
      </c>
      <c r="F23" s="799">
        <f>'数据-取费表'!B38</f>
        <v>0.02</v>
      </c>
      <c r="G23" s="1524"/>
      <c r="H23" s="1745"/>
      <c r="I23" s="1736"/>
      <c r="J23" s="69"/>
      <c r="K23" s="805"/>
      <c r="L23" s="774" t="s">
        <v>668</v>
      </c>
      <c r="M23" s="775">
        <f ca="1">INDIRECT("'数据-取费表'!r"&amp;$G$1)</f>
        <v>0</v>
      </c>
      <c r="N23" s="1943"/>
      <c r="O23" s="1943"/>
      <c r="P23" s="1943"/>
      <c r="Q23" s="1943"/>
      <c r="R23" s="1943"/>
      <c r="S23" s="1943"/>
      <c r="T23" s="1943"/>
      <c r="U23" s="1943"/>
      <c r="V23" s="1943"/>
      <c r="W23" s="1943"/>
      <c r="X23" s="1943"/>
      <c r="Y23" s="1943"/>
    </row>
    <row r="24" spans="1:25" ht="18" customHeight="1">
      <c r="A24" s="793" t="s">
        <v>1869</v>
      </c>
      <c r="B24" s="774" t="s">
        <v>669</v>
      </c>
      <c r="C24" s="53"/>
      <c r="D24" s="2421" t="str">
        <f>IF(F25&lt;=1,"单利计息。","复利计息。")&amp;"建造成本、管理费用、销售费用产生的利息。"</f>
        <v>复利计息。建造成本、管理费用、销售费用产生的利息。</v>
      </c>
      <c r="E24" s="1893"/>
      <c r="F24" s="56"/>
      <c r="G24" s="1523"/>
      <c r="H24" s="1743" t="s">
        <v>2057</v>
      </c>
      <c r="I24" s="774" t="s">
        <v>670</v>
      </c>
      <c r="J24" s="53">
        <f ca="1">ROUND(J16*M24,0)</f>
        <v>0</v>
      </c>
      <c r="K24" s="1888" t="s">
        <v>671</v>
      </c>
      <c r="L24" s="774" t="s">
        <v>643</v>
      </c>
      <c r="M24" s="806">
        <f ca="1">INDIRECT("'数据-取费表'!Ak"&amp;$G$1)</f>
        <v>0</v>
      </c>
    </row>
    <row r="25" spans="1:25" s="1944" customFormat="1" ht="18" customHeight="1">
      <c r="A25" s="793" t="s">
        <v>1865</v>
      </c>
      <c r="B25" s="774" t="s">
        <v>2419</v>
      </c>
      <c r="C25" s="53">
        <f ca="1">ROUND(IF('数据-取费表'!B22&lt;=1,(C21+C22)*F26*F25/2,(C21+C22)*(POWER((1+F26),F25/2)-1)),0)</f>
        <v>0</v>
      </c>
      <c r="D25" s="2420" t="str">
        <f>IF(F25&lt;=1,"(建造成本+管理费用)×利率×(建设周期÷2)","(建造成本+管理费用)×((1+利率)^(建设周期÷2)-1)")</f>
        <v>(建造成本+管理费用)×((1+利率)^(建设周期÷2)-1)</v>
      </c>
      <c r="E25" s="774" t="s">
        <v>672</v>
      </c>
      <c r="F25" s="632">
        <f>'数据-取费表'!B20</f>
        <v>3</v>
      </c>
      <c r="G25" s="1524"/>
      <c r="H25" s="793" t="s">
        <v>1868</v>
      </c>
      <c r="I25" s="774" t="s">
        <v>673</v>
      </c>
      <c r="J25" s="53">
        <f ca="1">ROUND(J15*M25,0)</f>
        <v>0</v>
      </c>
      <c r="K25" s="1888" t="s">
        <v>674</v>
      </c>
      <c r="L25" s="774" t="s">
        <v>643</v>
      </c>
      <c r="M25" s="807">
        <f ca="1">INDIRECT("'数据-取费表'!Al"&amp;$G$1)</f>
        <v>0</v>
      </c>
      <c r="N25" s="1943"/>
      <c r="O25" s="1943"/>
      <c r="P25" s="1943"/>
      <c r="Q25" s="1943"/>
      <c r="R25" s="1943"/>
      <c r="S25" s="1943"/>
      <c r="T25" s="1943"/>
      <c r="U25" s="1943"/>
      <c r="V25" s="1943"/>
      <c r="W25" s="1943"/>
      <c r="X25" s="1943"/>
      <c r="Y25" s="1943"/>
    </row>
    <row r="26" spans="1:25" s="1944" customFormat="1" ht="18" customHeight="1">
      <c r="A26" s="793" t="s">
        <v>1839</v>
      </c>
      <c r="B26" s="774" t="s">
        <v>675</v>
      </c>
      <c r="C26" s="53">
        <f ca="1">ROUND(IF('数据-取费表'!B22&lt;=1,F23*F26*F25/2,F23*(POWER((1+F26),F25/2)-1)),4)</f>
        <v>1.2999999999999999E-3</v>
      </c>
      <c r="D26" s="2420" t="str">
        <f>IF(F25&lt;=1,"销售费用×利率×(建设周期÷2)","销售费用×((1+利率)^(建设周期÷2)-1)")</f>
        <v>销售费用×((1+利率)^(建设周期÷2)-1)</v>
      </c>
      <c r="E26" s="774" t="s">
        <v>676</v>
      </c>
      <c r="F26" s="808">
        <f ca="1">'数据-取费表'!B40</f>
        <v>4.3499999999999997E-2</v>
      </c>
      <c r="G26" s="1524"/>
      <c r="H26" s="793" t="s">
        <v>1869</v>
      </c>
      <c r="I26" s="774" t="s">
        <v>660</v>
      </c>
      <c r="J26" s="53">
        <f ca="1">ROUND(J7*M26,0)</f>
        <v>0</v>
      </c>
      <c r="K26" s="1888" t="s">
        <v>677</v>
      </c>
      <c r="L26" s="774" t="s">
        <v>643</v>
      </c>
      <c r="M26" s="784">
        <f ca="1">INDIRECT("'数据-取费表'!Am"&amp;$G$1)</f>
        <v>0</v>
      </c>
      <c r="N26" s="1943"/>
      <c r="O26" s="1943"/>
      <c r="P26" s="1943"/>
      <c r="Q26" s="1943"/>
      <c r="R26" s="1943"/>
      <c r="S26" s="1943"/>
      <c r="T26" s="1943"/>
      <c r="U26" s="1943"/>
      <c r="V26" s="1943"/>
      <c r="W26" s="1943"/>
      <c r="X26" s="1943"/>
      <c r="Y26" s="1943"/>
    </row>
    <row r="27" spans="1:25" ht="18" customHeight="1">
      <c r="A27" s="793" t="s">
        <v>1871</v>
      </c>
      <c r="B27" s="774" t="s">
        <v>678</v>
      </c>
      <c r="C27" s="53"/>
      <c r="D27" s="259" t="s">
        <v>679</v>
      </c>
      <c r="E27" s="1893"/>
      <c r="F27" s="56"/>
      <c r="G27" s="1523"/>
      <c r="H27" s="787" t="s">
        <v>1818</v>
      </c>
      <c r="I27" s="2721" t="s">
        <v>2798</v>
      </c>
      <c r="J27" s="789">
        <f ca="1">J7-J18</f>
        <v>0</v>
      </c>
      <c r="K27" s="1890" t="s">
        <v>694</v>
      </c>
      <c r="L27" s="1892"/>
      <c r="M27" s="809"/>
    </row>
    <row r="28" spans="1:25" ht="18" customHeight="1">
      <c r="A28" s="793" t="s">
        <v>1865</v>
      </c>
      <c r="B28" s="774" t="s">
        <v>2420</v>
      </c>
      <c r="C28" s="53">
        <f ca="1">ROUND((C21+C22)*F28,0)</f>
        <v>0</v>
      </c>
      <c r="D28" s="801" t="s">
        <v>695</v>
      </c>
      <c r="E28" s="785" t="s">
        <v>696</v>
      </c>
      <c r="F28" s="784">
        <f ca="1">INDIRECT("'数据-取费表'!q"&amp;$G$1)</f>
        <v>0</v>
      </c>
      <c r="G28" s="1523"/>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3"/>
      <c r="H29" s="776"/>
      <c r="I29" s="777"/>
      <c r="J29" s="778"/>
      <c r="K29" s="810" t="s">
        <v>701</v>
      </c>
      <c r="L29" s="774" t="s">
        <v>702</v>
      </c>
      <c r="M29" s="811">
        <f ca="1">INDIRECT("'数据-取费表'!ag"&amp;$G$1)</f>
        <v>0</v>
      </c>
    </row>
    <row r="30" spans="1:25" s="1944" customFormat="1" ht="18" customHeight="1">
      <c r="A30" s="793" t="s">
        <v>1872</v>
      </c>
      <c r="B30" s="774" t="s">
        <v>681</v>
      </c>
      <c r="C30" s="53">
        <f>ROUND(F30/(1+'数据-取费表'!C42),4)</f>
        <v>5.33E-2</v>
      </c>
      <c r="D30" s="801" t="s">
        <v>703</v>
      </c>
      <c r="E30" s="774" t="s">
        <v>643</v>
      </c>
      <c r="F30" s="799">
        <f>'数据-取费表'!B41</f>
        <v>5.6000000000000001E-2</v>
      </c>
      <c r="G30" s="1524"/>
      <c r="H30" s="780"/>
      <c r="I30" s="781"/>
      <c r="J30" s="782"/>
      <c r="K30" s="805"/>
      <c r="L30" s="774" t="s">
        <v>704</v>
      </c>
      <c r="M30" s="784">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4"/>
      <c r="H31" s="812" t="s">
        <v>1862</v>
      </c>
      <c r="I31" s="2722" t="s">
        <v>2800</v>
      </c>
      <c r="J31" s="814">
        <f ca="1">ROUND(J28/(1+F45)^F46,0)</f>
        <v>0</v>
      </c>
      <c r="K31" s="815" t="s">
        <v>682</v>
      </c>
      <c r="L31" s="816"/>
      <c r="M31" s="817">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2">
        <f ca="1">ROUND(C33+C38+C39+C40,0)</f>
        <v>0</v>
      </c>
      <c r="D32" s="1733" t="s">
        <v>646</v>
      </c>
      <c r="E32" s="2337"/>
      <c r="F32" s="2341"/>
      <c r="G32" s="1942"/>
      <c r="H32" s="1945"/>
      <c r="I32" s="1946"/>
      <c r="J32" s="1947"/>
      <c r="K32" s="1948"/>
      <c r="L32" s="1949"/>
      <c r="M32" s="1950"/>
    </row>
    <row r="33" spans="1:18" ht="18" customHeight="1">
      <c r="A33" s="793" t="s">
        <v>1866</v>
      </c>
      <c r="B33" s="774"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2988</v>
      </c>
      <c r="I33" s="1946"/>
      <c r="J33" s="1947"/>
      <c r="K33" s="1948"/>
      <c r="L33" s="1949"/>
      <c r="M33" s="1950"/>
    </row>
    <row r="34" spans="1:18" ht="18" customHeight="1">
      <c r="A34" s="793" t="s">
        <v>1865</v>
      </c>
      <c r="B34" s="774" t="s">
        <v>654</v>
      </c>
      <c r="C34" s="53">
        <f ca="1">ROUND(C8*F34/(1+'数据-取费表'!C42),1)</f>
        <v>0</v>
      </c>
      <c r="D34" s="1888" t="s">
        <v>655</v>
      </c>
      <c r="E34" s="774" t="s">
        <v>643</v>
      </c>
      <c r="F34" s="799">
        <f>'数据-取费表'!B41</f>
        <v>5.6000000000000001E-2</v>
      </c>
      <c r="G34" s="1942"/>
      <c r="H34" s="1951"/>
      <c r="I34" s="1952"/>
      <c r="J34" s="1953"/>
      <c r="K34" s="1954"/>
      <c r="L34" s="1955"/>
      <c r="M34" s="1956"/>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2"/>
      <c r="H35" s="1957"/>
      <c r="I35" s="1957"/>
      <c r="J35" s="1957"/>
      <c r="K35" s="1958"/>
      <c r="L35" s="1957"/>
      <c r="M35" s="1957"/>
    </row>
    <row r="36" spans="1:18" ht="18" customHeight="1">
      <c r="A36" s="802" t="s">
        <v>1870</v>
      </c>
      <c r="B36" s="339" t="s">
        <v>662</v>
      </c>
      <c r="C36" s="54">
        <f ca="1">ROUND(F36*F37/10000,1)</f>
        <v>0</v>
      </c>
      <c r="D36" s="803" t="s">
        <v>663</v>
      </c>
      <c r="E36" s="774" t="s">
        <v>664</v>
      </c>
      <c r="F36" s="632">
        <f>'数据-取费表'!B52</f>
        <v>6</v>
      </c>
      <c r="G36" s="1942"/>
      <c r="H36" s="1945"/>
      <c r="I36" s="3745"/>
      <c r="J36" s="1959"/>
      <c r="K36" s="1960"/>
      <c r="L36" s="1959"/>
      <c r="M36" s="1959"/>
    </row>
    <row r="37" spans="1:18" ht="18" customHeight="1">
      <c r="A37" s="804"/>
      <c r="B37" s="783"/>
      <c r="C37" s="69"/>
      <c r="D37" s="805"/>
      <c r="E37" s="774" t="s">
        <v>668</v>
      </c>
      <c r="F37" s="775">
        <f ca="1">INDIRECT("'数据-取费表'!r"&amp;$G$1)</f>
        <v>0</v>
      </c>
      <c r="G37" s="1942"/>
      <c r="H37" s="1945"/>
      <c r="I37" s="3745"/>
      <c r="J37" s="1957"/>
      <c r="K37" s="1958"/>
      <c r="L37" s="1957"/>
      <c r="M37" s="1957"/>
    </row>
    <row r="38" spans="1:18" ht="18" customHeight="1">
      <c r="A38" s="793" t="s">
        <v>1867</v>
      </c>
      <c r="B38" s="774" t="s">
        <v>670</v>
      </c>
      <c r="C38" s="53">
        <f ca="1">ROUND(C31*F38,1)</f>
        <v>0</v>
      </c>
      <c r="D38" s="1888" t="s">
        <v>685</v>
      </c>
      <c r="E38" s="774" t="s">
        <v>643</v>
      </c>
      <c r="F38" s="806">
        <f ca="1">INDIRECT("'数据-取费表'!Ak"&amp;$G$1)</f>
        <v>0</v>
      </c>
      <c r="G38" s="1942"/>
      <c r="H38" s="1957"/>
      <c r="I38" s="3019"/>
      <c r="J38" s="1897"/>
      <c r="K38" s="1961"/>
      <c r="L38" s="1957"/>
      <c r="M38" s="1957"/>
    </row>
    <row r="39" spans="1:18" ht="18" customHeight="1">
      <c r="A39" s="793" t="s">
        <v>1868</v>
      </c>
      <c r="B39" s="774" t="s">
        <v>673</v>
      </c>
      <c r="C39" s="53">
        <f ca="1">ROUND(C15*F39,1)</f>
        <v>0</v>
      </c>
      <c r="D39" s="1888" t="s">
        <v>674</v>
      </c>
      <c r="E39" s="774" t="s">
        <v>643</v>
      </c>
      <c r="F39" s="807">
        <f ca="1">INDIRECT("'数据-取费表'!Al"&amp;$G$1)</f>
        <v>0</v>
      </c>
      <c r="G39" s="1942"/>
      <c r="H39" s="1957"/>
      <c r="I39" s="3019"/>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1">
        <v>4</v>
      </c>
      <c r="B41" s="1739" t="s">
        <v>686</v>
      </c>
      <c r="C41" s="1304"/>
      <c r="D41" s="1305"/>
      <c r="E41" s="1305"/>
      <c r="F41" s="1306"/>
      <c r="G41" s="1942"/>
      <c r="H41" s="1942"/>
      <c r="I41" s="1942"/>
      <c r="J41" s="1942"/>
      <c r="K41" s="1962"/>
      <c r="L41" s="1942"/>
      <c r="M41" s="1942"/>
    </row>
    <row r="42" spans="1:18" ht="18" customHeight="1">
      <c r="A42" s="793" t="s">
        <v>1866</v>
      </c>
      <c r="B42" s="824" t="s">
        <v>687</v>
      </c>
      <c r="C42" s="818">
        <f ca="1">C7-C32</f>
        <v>0</v>
      </c>
      <c r="D42" s="1890" t="s">
        <v>688</v>
      </c>
      <c r="E42" s="1892"/>
      <c r="F42" s="809"/>
      <c r="G42" s="1942"/>
      <c r="H42" s="1942"/>
      <c r="I42" s="1942"/>
      <c r="J42" s="1942"/>
      <c r="K42" s="1962"/>
      <c r="L42" s="1942"/>
      <c r="M42" s="1942"/>
    </row>
    <row r="43" spans="1:18" ht="18" customHeight="1">
      <c r="A43" s="793" t="s">
        <v>1867</v>
      </c>
      <c r="B43" s="824" t="s">
        <v>705</v>
      </c>
      <c r="C43" s="825">
        <f ca="1">ROUND(C15*F43,0)</f>
        <v>0</v>
      </c>
      <c r="D43" s="1307" t="s">
        <v>706</v>
      </c>
      <c r="E43" s="2792" t="s">
        <v>2920</v>
      </c>
      <c r="F43" s="2793">
        <f ca="1">INDIRECT("'数据-取费表'!j"&amp;$G$1)</f>
        <v>0</v>
      </c>
      <c r="G43" s="1942"/>
      <c r="H43" s="1942"/>
      <c r="I43" s="1942"/>
      <c r="J43" s="1942"/>
      <c r="K43" s="1962"/>
      <c r="L43" s="1942"/>
      <c r="M43" s="1942"/>
    </row>
    <row r="44" spans="1:18" ht="18" customHeight="1">
      <c r="A44" s="793" t="s">
        <v>1868</v>
      </c>
      <c r="B44" s="824" t="s">
        <v>707</v>
      </c>
      <c r="C44" s="1308">
        <f ca="1">C42-C43</f>
        <v>0</v>
      </c>
      <c r="D44" s="457" t="s">
        <v>708</v>
      </c>
      <c r="E44" s="458"/>
      <c r="F44" s="459"/>
      <c r="G44" s="1942"/>
      <c r="H44" s="1942"/>
      <c r="I44" s="1942"/>
      <c r="J44" s="1942"/>
      <c r="K44" s="1962"/>
      <c r="L44" s="1942"/>
      <c r="M44" s="1942"/>
    </row>
    <row r="45" spans="1:18" ht="18" customHeight="1">
      <c r="A45" s="793" t="s">
        <v>1869</v>
      </c>
      <c r="B45" s="1307" t="s">
        <v>709</v>
      </c>
      <c r="C45" s="2748">
        <f ca="1">ROUND(-PV(F45,F46,C44,0),0)</f>
        <v>0</v>
      </c>
      <c r="D45" s="1309" t="s">
        <v>710</v>
      </c>
      <c r="E45" s="796" t="s">
        <v>711</v>
      </c>
      <c r="F45" s="819">
        <f ca="1">INDIRECT("'数据-取费表'!h"&amp;$G$1)</f>
        <v>0</v>
      </c>
      <c r="G45" s="1942"/>
      <c r="H45" s="1942"/>
      <c r="I45" s="1942"/>
      <c r="J45" s="1942"/>
      <c r="K45" s="1962"/>
      <c r="L45" s="1942"/>
      <c r="M45" s="1942"/>
    </row>
    <row r="46" spans="1:18" ht="18" customHeight="1" thickBot="1">
      <c r="A46" s="820"/>
      <c r="B46" s="1310"/>
      <c r="C46" s="1311"/>
      <c r="D46" s="1312"/>
      <c r="E46" s="2794" t="s">
        <v>2923</v>
      </c>
      <c r="F46" s="817">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8" t="str">
        <f ca="1">IF(M48="住宅",0,IF(L49&gt;J52,L61,J61))</f>
        <v>0</v>
      </c>
      <c r="O47" s="2246" t="s">
        <v>2393</v>
      </c>
      <c r="P47" s="1523"/>
      <c r="Q47" s="1531"/>
      <c r="R47" s="1523"/>
    </row>
    <row r="48" spans="1:18" s="1939" customFormat="1" ht="18" customHeight="1" thickBot="1">
      <c r="A48" s="1963"/>
      <c r="C48" s="1966"/>
      <c r="D48" s="1967"/>
      <c r="E48" s="1967"/>
      <c r="F48" s="1968"/>
      <c r="G48" s="1969"/>
      <c r="I48" s="2799" t="s">
        <v>2327</v>
      </c>
      <c r="J48" s="2233"/>
      <c r="K48" s="2805" t="s">
        <v>2332</v>
      </c>
      <c r="L48" s="2809">
        <f ca="1">INDIRECT("'数据-取费表'!d"&amp;$G$1)</f>
        <v>0</v>
      </c>
      <c r="M48" s="2791"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6" t="s">
        <v>2328</v>
      </c>
      <c r="J49" s="2234"/>
      <c r="K49" s="2806"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6" t="s">
        <v>2329</v>
      </c>
      <c r="J50" s="2235"/>
      <c r="K50" s="2807"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6" t="s">
        <v>2330</v>
      </c>
      <c r="J51" s="2803">
        <f>SUMPRODUCT((I64:I66=J48)*(J63:L63=J49)*(J64:L66))</f>
        <v>0</v>
      </c>
      <c r="K51" s="2807" t="s">
        <v>2336</v>
      </c>
      <c r="L51" s="2236"/>
      <c r="O51" s="2253" t="s">
        <v>2366</v>
      </c>
      <c r="P51" s="2251" t="s">
        <v>2390</v>
      </c>
      <c r="Q51" s="2252">
        <f ca="1">C31</f>
        <v>0</v>
      </c>
      <c r="R51" s="2251" t="s">
        <v>2363</v>
      </c>
    </row>
    <row r="52" spans="1:18" s="1939" customFormat="1" ht="18" customHeight="1" thickBot="1">
      <c r="A52" s="1975"/>
      <c r="F52" s="1964"/>
      <c r="I52" s="2800" t="s">
        <v>2331</v>
      </c>
      <c r="J52" s="2804">
        <f>IF(J50="",J51,J50+J51-YEAR('数据-取费表'!B3))</f>
        <v>0</v>
      </c>
      <c r="K52" s="2796" t="s">
        <v>2337</v>
      </c>
      <c r="L52" s="2810">
        <f ca="1">C45</f>
        <v>0</v>
      </c>
      <c r="O52" s="2253" t="s">
        <v>2367</v>
      </c>
      <c r="P52" s="2251" t="s">
        <v>2368</v>
      </c>
      <c r="Q52" s="2254" t="e">
        <f ca="1">J59</f>
        <v>#VALUE!</v>
      </c>
      <c r="R52" s="2255"/>
    </row>
    <row r="53" spans="1:18" s="1939" customFormat="1" ht="18" customHeight="1" thickBot="1">
      <c r="A53" s="1975"/>
      <c r="F53" s="1964"/>
      <c r="I53" s="2801" t="s">
        <v>2404</v>
      </c>
      <c r="J53" s="2237"/>
      <c r="K53" s="2801" t="s">
        <v>2403</v>
      </c>
      <c r="L53" s="2237"/>
      <c r="O53" s="2253" t="s">
        <v>2369</v>
      </c>
      <c r="P53" s="2251" t="s">
        <v>2370</v>
      </c>
      <c r="Q53" s="2254">
        <f>J53</f>
        <v>0</v>
      </c>
      <c r="R53" s="2255"/>
    </row>
    <row r="54" spans="1:18" s="1939" customFormat="1" ht="29.25" thickBot="1">
      <c r="A54" s="1975"/>
      <c r="I54" s="2802" t="s">
        <v>2935</v>
      </c>
      <c r="J54" s="2855">
        <f ca="1">IF(M48="住宅",MAX(J52,L49-'数据-取费表'!B20),MIN(J52,L49-'数据-取费表'!B20))</f>
        <v>-3</v>
      </c>
      <c r="K54" s="3750"/>
      <c r="L54" s="3751"/>
      <c r="O54" s="2253" t="s">
        <v>2371</v>
      </c>
      <c r="P54" s="2251" t="s">
        <v>2372</v>
      </c>
      <c r="Q54" s="2252">
        <f ca="1">J54</f>
        <v>-3</v>
      </c>
      <c r="R54" s="2251" t="s">
        <v>2373</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2374</v>
      </c>
      <c r="P55" s="2251" t="s">
        <v>2391</v>
      </c>
      <c r="Q55" s="2252">
        <f ca="1">Q49+Q50</f>
        <v>0</v>
      </c>
      <c r="R55" s="2255" t="s">
        <v>2375</v>
      </c>
    </row>
    <row r="56" spans="1:18" s="1939" customFormat="1" ht="16.5" thickBot="1">
      <c r="A56" s="1975"/>
      <c r="B56" s="1976"/>
      <c r="C56" s="1976"/>
      <c r="I56" s="2813" t="s">
        <v>2338</v>
      </c>
      <c r="J56" s="2785" t="e">
        <f ca="1">ROUND(IF(J48="钢混",J58/J51,1-(1-2%)*(J51-J58)/J51),3)</f>
        <v>#VALUE!</v>
      </c>
      <c r="K56" s="2814" t="s">
        <v>2339</v>
      </c>
      <c r="L56" s="2238"/>
      <c r="O56" s="2256" t="s">
        <v>2394</v>
      </c>
      <c r="P56" s="1523"/>
      <c r="Q56" s="1531"/>
      <c r="R56" s="1523"/>
    </row>
    <row r="57" spans="1:18" s="1939" customFormat="1" ht="43.5" thickBot="1">
      <c r="A57" s="1975"/>
      <c r="B57" s="1976"/>
      <c r="C57" s="1976"/>
      <c r="I57" s="2815" t="s">
        <v>2340</v>
      </c>
      <c r="J57" s="2825" t="s">
        <v>1668</v>
      </c>
      <c r="K57" s="2796" t="s">
        <v>2345</v>
      </c>
      <c r="L57" s="1819">
        <f ca="1">IF(L49&lt;J52,"——",L49-J52)</f>
        <v>0</v>
      </c>
      <c r="O57" s="2247" t="s">
        <v>2358</v>
      </c>
      <c r="P57" s="2248" t="s">
        <v>2359</v>
      </c>
      <c r="Q57" s="2249" t="s">
        <v>2360</v>
      </c>
      <c r="R57" s="2248" t="s">
        <v>2361</v>
      </c>
    </row>
    <row r="58" spans="1:18" s="1939" customFormat="1" ht="29.25" thickBot="1">
      <c r="A58" s="1975"/>
      <c r="B58" s="1976"/>
      <c r="C58" s="1976"/>
      <c r="I58" s="2816" t="s">
        <v>2341</v>
      </c>
      <c r="J58" s="2817" t="str">
        <f ca="1">IF(OR(M48="住宅",J52&lt;L49,J57="是"),"——",J52-L49)</f>
        <v>——</v>
      </c>
      <c r="K58" s="2796"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6" t="s">
        <v>2342</v>
      </c>
      <c r="J59" s="2786" t="e">
        <f ca="1">IF(J56&lt;0.4,0.4,J56)</f>
        <v>#VALUE!</v>
      </c>
      <c r="K59" s="2796"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6" t="s">
        <v>2343</v>
      </c>
      <c r="J60" s="2817" t="str">
        <f ca="1">IF(OR(M48="住宅",J52&lt;L49,J57="是"),"——",ROUND(C30*J59,0))</f>
        <v>——</v>
      </c>
      <c r="K60" s="2796"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8" t="s">
        <v>2344</v>
      </c>
      <c r="J61" s="2819" t="str">
        <f ca="1">IF(OR(M48="住宅",J52&lt;L49,J57="是"),"0",ROUND(J60/(1+J53)^J54,0))</f>
        <v>0</v>
      </c>
      <c r="K61" s="2820" t="s">
        <v>2349</v>
      </c>
      <c r="L61" s="2819"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21" t="s">
        <v>2350</v>
      </c>
      <c r="J63" s="2822" t="s">
        <v>2351</v>
      </c>
      <c r="K63" s="2822" t="s">
        <v>2352</v>
      </c>
      <c r="L63" s="2822" t="s">
        <v>2333</v>
      </c>
      <c r="M63" s="2823" t="s">
        <v>2903</v>
      </c>
      <c r="O63" s="2253" t="s">
        <v>2371</v>
      </c>
      <c r="P63" s="2251" t="s">
        <v>2379</v>
      </c>
      <c r="Q63" s="2252">
        <f ca="1">L60</f>
        <v>0</v>
      </c>
      <c r="R63" s="2255" t="s">
        <v>2380</v>
      </c>
    </row>
    <row r="64" spans="1:18" s="1939" customFormat="1" ht="15.75" thickBot="1">
      <c r="A64" s="1975"/>
      <c r="B64" s="1976"/>
      <c r="C64" s="1976"/>
      <c r="I64" s="2821" t="s">
        <v>2353</v>
      </c>
      <c r="J64" s="2822">
        <v>70</v>
      </c>
      <c r="K64" s="2822">
        <v>50</v>
      </c>
      <c r="L64" s="2822">
        <v>80</v>
      </c>
      <c r="M64" s="2824">
        <v>0.02</v>
      </c>
      <c r="O64" s="2250" t="s">
        <v>2374</v>
      </c>
      <c r="P64" s="2251" t="s">
        <v>2391</v>
      </c>
      <c r="Q64" s="2252" t="e">
        <f ca="1">Q58+Q59</f>
        <v>#DIV/0!</v>
      </c>
      <c r="R64" s="2255" t="s">
        <v>2375</v>
      </c>
    </row>
    <row r="65" spans="1:18" s="1939" customFormat="1" ht="16.5" thickBot="1">
      <c r="A65" s="1975"/>
      <c r="B65" s="1976"/>
      <c r="C65" s="1976"/>
      <c r="I65" s="2821" t="s">
        <v>2354</v>
      </c>
      <c r="J65" s="2822">
        <v>50</v>
      </c>
      <c r="K65" s="2822">
        <v>35</v>
      </c>
      <c r="L65" s="2822">
        <v>60</v>
      </c>
      <c r="M65" s="835">
        <v>0</v>
      </c>
      <c r="O65" s="2256" t="s">
        <v>2398</v>
      </c>
      <c r="P65" s="1523"/>
      <c r="Q65" s="1531"/>
      <c r="R65" s="1523"/>
    </row>
    <row r="66" spans="1:18" s="1939" customFormat="1" ht="15.75" thickBot="1">
      <c r="A66" s="1975"/>
      <c r="B66" s="1976"/>
      <c r="C66" s="1976"/>
      <c r="I66" s="2821" t="s">
        <v>2355</v>
      </c>
      <c r="J66" s="2822">
        <v>40</v>
      </c>
      <c r="K66" s="2822">
        <v>30</v>
      </c>
      <c r="L66" s="2822">
        <v>50</v>
      </c>
      <c r="M66" s="2824">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1" priority="6">
      <formula>$F$12="自定义"</formula>
    </cfRule>
  </conditionalFormatting>
  <conditionalFormatting sqref="J13">
    <cfRule type="expression" dxfId="160" priority="5">
      <formula>$M$10="自定义"</formula>
    </cfRule>
  </conditionalFormatting>
  <conditionalFormatting sqref="K56">
    <cfRule type="expression" dxfId="159" priority="3">
      <formula>$L$48&gt;$J$51</formula>
    </cfRule>
  </conditionalFormatting>
  <conditionalFormatting sqref="I56">
    <cfRule type="expression" dxfId="158" priority="4">
      <formula>$J$51&gt;$L$48</formula>
    </cfRule>
  </conditionalFormatting>
  <conditionalFormatting sqref="I61">
    <cfRule type="expression" dxfId="157" priority="2">
      <formula>$J$51&gt;$L$48</formula>
    </cfRule>
  </conditionalFormatting>
  <conditionalFormatting sqref="K61">
    <cfRule type="expression" dxfId="156"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268"/>
  <sheetViews>
    <sheetView view="pageBreakPreview" topLeftCell="A7" zoomScale="80" zoomScaleNormal="60" zoomScaleSheetLayoutView="80" workbookViewId="0">
      <selection activeCell="F7" sqref="F7:F4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4" t="s">
        <v>713</v>
      </c>
      <c r="C1" s="2465" t="s">
        <v>714</v>
      </c>
      <c r="D1" s="2466"/>
      <c r="E1" s="2006"/>
      <c r="F1" s="2521"/>
      <c r="G1" s="1528" t="s">
        <v>715</v>
      </c>
      <c r="H1" s="500"/>
      <c r="I1" s="500"/>
      <c r="J1" s="500"/>
      <c r="K1" s="501"/>
      <c r="L1" s="3207"/>
      <c r="M1" s="3208"/>
      <c r="N1" s="3208"/>
      <c r="O1" s="3208"/>
      <c r="P1" s="1496"/>
      <c r="Q1" s="1496"/>
      <c r="R1" s="1496"/>
      <c r="S1" s="1496"/>
      <c r="T1" s="1496"/>
      <c r="U1" s="1496"/>
      <c r="V1" s="1496"/>
      <c r="W1" s="1496"/>
      <c r="X1" s="1496"/>
      <c r="Y1" s="1496"/>
      <c r="Z1" s="1496"/>
      <c r="AA1" s="1496"/>
      <c r="AB1" s="1496"/>
      <c r="AC1" s="1497"/>
    </row>
    <row r="2" spans="1:29" s="1313" customFormat="1" ht="28.5" customHeight="1">
      <c r="A2" s="417" t="s">
        <v>461</v>
      </c>
      <c r="B2" s="2463" t="e">
        <f>ROUND(B3*D3/10000,0)</f>
        <v>#DIV/0!</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3" t="s">
        <v>513</v>
      </c>
      <c r="B3" s="840" t="e">
        <f>C49</f>
        <v>#DIV/0!</v>
      </c>
      <c r="C3" s="841" t="s">
        <v>716</v>
      </c>
      <c r="D3" s="840">
        <f>SUMIF('数据-汇总表'!$C19:$C33,D1,'数据-汇总表'!$E19:$E33)</f>
        <v>0</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6" t="s">
        <v>515</v>
      </c>
      <c r="B4" s="507"/>
      <c r="C4" s="3664" t="s">
        <v>516</v>
      </c>
      <c r="D4" s="3665"/>
      <c r="E4" s="3698" t="s">
        <v>517</v>
      </c>
      <c r="F4" s="3699"/>
      <c r="G4" s="3664" t="s">
        <v>518</v>
      </c>
      <c r="H4" s="3665"/>
      <c r="I4" s="3664" t="s">
        <v>519</v>
      </c>
      <c r="J4" s="3665"/>
      <c r="K4" s="842" t="s">
        <v>520</v>
      </c>
      <c r="L4" s="2012"/>
      <c r="M4" s="2013"/>
      <c r="N4" s="2013"/>
      <c r="O4" s="2013"/>
      <c r="P4" s="3666" t="s">
        <v>521</v>
      </c>
      <c r="Q4" s="3667"/>
      <c r="R4" s="3672" t="s">
        <v>517</v>
      </c>
      <c r="S4" s="3673"/>
      <c r="T4" s="3672" t="s">
        <v>518</v>
      </c>
      <c r="U4" s="3673"/>
      <c r="V4" s="3659" t="s">
        <v>519</v>
      </c>
      <c r="W4" s="3659"/>
      <c r="X4" s="1498"/>
      <c r="Y4" s="3672" t="s">
        <v>521</v>
      </c>
      <c r="Z4" s="3673"/>
      <c r="AA4" s="3661" t="s">
        <v>517</v>
      </c>
      <c r="AB4" s="3661" t="s">
        <v>518</v>
      </c>
      <c r="AC4" s="3661" t="s">
        <v>519</v>
      </c>
    </row>
    <row r="5" spans="1:29" ht="15">
      <c r="A5" s="509"/>
      <c r="B5" s="510"/>
      <c r="C5" s="3680" t="s">
        <v>2890</v>
      </c>
      <c r="D5" s="3681"/>
      <c r="E5" s="3700" t="s">
        <v>2891</v>
      </c>
      <c r="F5" s="3701"/>
      <c r="G5" s="3680" t="s">
        <v>2892</v>
      </c>
      <c r="H5" s="3681"/>
      <c r="I5" s="3680" t="s">
        <v>2893</v>
      </c>
      <c r="J5" s="3681"/>
      <c r="K5" s="843"/>
      <c r="L5" s="2012"/>
      <c r="M5" s="2013"/>
      <c r="N5" s="2013"/>
      <c r="O5" s="2013"/>
      <c r="P5" s="3668"/>
      <c r="Q5" s="3669"/>
      <c r="R5" s="3674"/>
      <c r="S5" s="3675"/>
      <c r="T5" s="3674"/>
      <c r="U5" s="3675"/>
      <c r="V5" s="3659"/>
      <c r="W5" s="3659"/>
      <c r="X5" s="1498"/>
      <c r="Y5" s="3674"/>
      <c r="Z5" s="3675"/>
      <c r="AA5" s="3662"/>
      <c r="AB5" s="3662"/>
      <c r="AC5" s="3662"/>
    </row>
    <row r="6" spans="1:29" ht="15.75" thickBot="1">
      <c r="A6" s="511"/>
      <c r="B6" s="512"/>
      <c r="C6" s="3678" t="s">
        <v>2894</v>
      </c>
      <c r="D6" s="3679"/>
      <c r="E6" s="3696" t="s">
        <v>2894</v>
      </c>
      <c r="F6" s="3697"/>
      <c r="G6" s="3678" t="s">
        <v>2894</v>
      </c>
      <c r="H6" s="3679"/>
      <c r="I6" s="3678" t="s">
        <v>2894</v>
      </c>
      <c r="J6" s="3679"/>
      <c r="K6" s="843" t="s">
        <v>522</v>
      </c>
      <c r="L6" s="2012"/>
      <c r="M6" s="2013"/>
      <c r="N6" s="2013"/>
      <c r="O6" s="2013"/>
      <c r="P6" s="3670"/>
      <c r="Q6" s="3671"/>
      <c r="R6" s="3674"/>
      <c r="S6" s="3675"/>
      <c r="T6" s="3676"/>
      <c r="U6" s="3677"/>
      <c r="V6" s="3659"/>
      <c r="W6" s="3659"/>
      <c r="X6" s="1498"/>
      <c r="Y6" s="3676"/>
      <c r="Z6" s="3677"/>
      <c r="AA6" s="3663"/>
      <c r="AB6" s="3663"/>
      <c r="AC6" s="3663"/>
    </row>
    <row r="7" spans="1:29" s="1201" customFormat="1" ht="15.75" thickBot="1">
      <c r="A7" s="2626"/>
      <c r="B7" s="2633" t="s">
        <v>523</v>
      </c>
      <c r="C7" s="513">
        <f>'数据-取费表'!B2</f>
        <v>44377</v>
      </c>
      <c r="D7" s="514">
        <v>100</v>
      </c>
      <c r="E7" s="515"/>
      <c r="F7" s="516">
        <f>SUMIF(58:58,YEAR(E7)&amp;"-"&amp;MONTH(E7),59:59)</f>
        <v>0</v>
      </c>
      <c r="G7" s="517"/>
      <c r="H7" s="514">
        <f>SUMIF(58:58,YEAR(G7)&amp;"-"&amp;MONTH(G7),59:59)</f>
        <v>0</v>
      </c>
      <c r="I7" s="517"/>
      <c r="J7" s="514">
        <f>SUMIF(58:58,YEAR(I7)&amp;"-"&amp;MONTH(I7),59:59)</f>
        <v>0</v>
      </c>
      <c r="K7" s="844"/>
      <c r="L7" s="2014"/>
      <c r="M7" s="2015"/>
      <c r="N7" s="2015"/>
      <c r="O7" s="2015"/>
      <c r="P7" s="3689" t="s">
        <v>524</v>
      </c>
      <c r="Q7" s="3691"/>
      <c r="R7" s="1499" t="s">
        <v>13</v>
      </c>
      <c r="S7" s="1500">
        <f t="shared" ref="S7:S15" si="0">F7</f>
        <v>0</v>
      </c>
      <c r="T7" s="1499" t="s">
        <v>13</v>
      </c>
      <c r="U7" s="1500">
        <f t="shared" ref="U7:U15" si="1">H7</f>
        <v>0</v>
      </c>
      <c r="V7" s="1499" t="s">
        <v>13</v>
      </c>
      <c r="W7" s="1500">
        <f t="shared" ref="W7:W15" si="2">J7</f>
        <v>0</v>
      </c>
      <c r="X7" s="1501"/>
      <c r="Y7" s="3689" t="s">
        <v>524</v>
      </c>
      <c r="Z7" s="3690"/>
      <c r="AA7" s="1502" t="e">
        <f>D7/F7</f>
        <v>#DIV/0!</v>
      </c>
      <c r="AB7" s="1502" t="e">
        <f>D7/H7</f>
        <v>#DIV/0!</v>
      </c>
      <c r="AC7" s="1502" t="e">
        <f>D7/J7</f>
        <v>#DIV/0!</v>
      </c>
    </row>
    <row r="8" spans="1:29" s="1201" customFormat="1" ht="15.75" thickBot="1">
      <c r="A8" s="2627"/>
      <c r="B8" s="2634" t="s">
        <v>525</v>
      </c>
      <c r="C8" s="519" t="s">
        <v>570</v>
      </c>
      <c r="D8" s="514">
        <v>100</v>
      </c>
      <c r="E8" s="845"/>
      <c r="F8" s="516">
        <f>SUMIF(61:61,E8,62:62)-SUMIF(61:61,C8,62:62)+100</f>
        <v>0</v>
      </c>
      <c r="G8" s="519"/>
      <c r="H8" s="514">
        <f>SUMIF(61:61,G8,62:62)-SUMIF(61:61,C8,62:62)+100</f>
        <v>0</v>
      </c>
      <c r="I8" s="845"/>
      <c r="J8" s="514">
        <f>SUMIF(61:61,I8,62:62)-SUMIF(61:61,C8,62:62)+100</f>
        <v>0</v>
      </c>
      <c r="K8" s="844"/>
      <c r="L8" s="2014"/>
      <c r="M8" s="2015"/>
      <c r="N8" s="2015"/>
      <c r="O8" s="2015"/>
      <c r="P8" s="3689" t="s">
        <v>527</v>
      </c>
      <c r="Q8" s="3690"/>
      <c r="R8" s="1499" t="s">
        <v>13</v>
      </c>
      <c r="S8" s="1500">
        <f t="shared" si="0"/>
        <v>0</v>
      </c>
      <c r="T8" s="1499" t="s">
        <v>13</v>
      </c>
      <c r="U8" s="1500">
        <f t="shared" si="1"/>
        <v>0</v>
      </c>
      <c r="V8" s="1499" t="s">
        <v>13</v>
      </c>
      <c r="W8" s="1500">
        <f t="shared" si="2"/>
        <v>0</v>
      </c>
      <c r="X8" s="1501"/>
      <c r="Y8" s="3689" t="s">
        <v>527</v>
      </c>
      <c r="Z8" s="3690"/>
      <c r="AA8" s="1502" t="e">
        <f t="shared" ref="AA8:AA46" si="3">D8/F8</f>
        <v>#DIV/0!</v>
      </c>
      <c r="AB8" s="1502" t="e">
        <f t="shared" ref="AB8:AB46" si="4">D8/H8</f>
        <v>#DIV/0!</v>
      </c>
      <c r="AC8" s="1502" t="e">
        <f t="shared" ref="AC8:AC46" si="5">D8/J8</f>
        <v>#DIV/0!</v>
      </c>
    </row>
    <row r="9" spans="1:29" s="1201" customFormat="1" ht="15">
      <c r="A9" s="2628"/>
      <c r="B9" s="2635" t="s">
        <v>2733</v>
      </c>
      <c r="C9" s="846"/>
      <c r="D9" s="252">
        <v>100</v>
      </c>
      <c r="E9" s="847"/>
      <c r="F9" s="848">
        <f>SUMIF(63:63,E9,64:64)-SUMIF(63:63,C9,64:64)+100</f>
        <v>100</v>
      </c>
      <c r="G9" s="849"/>
      <c r="H9" s="252">
        <f>SUMIF(63:63,G9,64:64)-SUMIF(63:63,C9,64:64)+100</f>
        <v>100</v>
      </c>
      <c r="I9" s="849"/>
      <c r="J9" s="252">
        <f>SUMIF(63:63,I9,64:64)-SUMIF(63:63,C9,64:64)+100</f>
        <v>100</v>
      </c>
      <c r="K9" s="844"/>
      <c r="L9" s="2014"/>
      <c r="M9" s="2015"/>
      <c r="N9" s="2015"/>
      <c r="O9" s="2016"/>
      <c r="P9" s="3658" t="s">
        <v>529</v>
      </c>
      <c r="Q9" s="1132" t="str">
        <f t="shared" ref="Q9:Q15" si="6">B9</f>
        <v>用途</v>
      </c>
      <c r="R9" s="1499" t="s">
        <v>8</v>
      </c>
      <c r="S9" s="1500">
        <f t="shared" si="0"/>
        <v>100</v>
      </c>
      <c r="T9" s="1499" t="s">
        <v>8</v>
      </c>
      <c r="U9" s="1500">
        <f t="shared" si="1"/>
        <v>100</v>
      </c>
      <c r="V9" s="1499" t="s">
        <v>8</v>
      </c>
      <c r="W9" s="1500">
        <f t="shared" si="2"/>
        <v>100</v>
      </c>
      <c r="X9" s="1501"/>
      <c r="Y9" s="3604"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1"/>
      <c r="F10" s="852">
        <f>SUMIF(65:65,E10,66:66)-SUMIF(65:65,C10,66:66)+100</f>
        <v>100</v>
      </c>
      <c r="G10" s="850"/>
      <c r="H10" s="253">
        <f>SUMIF(65:65,G10,66:66)-SUMIF(65:65,C10,66:66)+100</f>
        <v>100</v>
      </c>
      <c r="I10" s="850"/>
      <c r="J10" s="253">
        <f>SUMIF(65:65,I10,66:66)-SUMIF(65:65,C10,66:66)+100</f>
        <v>100</v>
      </c>
      <c r="K10" s="853"/>
      <c r="L10" s="2017"/>
      <c r="M10" s="2056"/>
      <c r="N10" s="2056"/>
      <c r="O10" s="2018"/>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
      <c r="A11" s="2630"/>
      <c r="B11" s="2634" t="s">
        <v>2735</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19"/>
      <c r="M11" s="2013"/>
      <c r="N11" s="2013"/>
      <c r="O11" s="2020"/>
      <c r="P11" s="3658"/>
      <c r="Q11" s="1132" t="str">
        <f t="shared" si="6"/>
        <v>容积率</v>
      </c>
      <c r="R11" s="1499" t="s">
        <v>11</v>
      </c>
      <c r="S11" s="1500" t="e">
        <f t="shared" si="0"/>
        <v>#N/A</v>
      </c>
      <c r="T11" s="1499" t="s">
        <v>11</v>
      </c>
      <c r="U11" s="1500" t="e">
        <f t="shared" si="1"/>
        <v>#N/A</v>
      </c>
      <c r="V11" s="1499" t="s">
        <v>11</v>
      </c>
      <c r="W11" s="1500" t="e">
        <f t="shared" si="2"/>
        <v>#N/A</v>
      </c>
      <c r="X11" s="1501"/>
      <c r="Y11" s="3604"/>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22"/>
      <c r="F12" s="852">
        <f>SUMIF(70:70,E12,71:71)-SUMIF(70:70,C12,71:71)+100</f>
        <v>100</v>
      </c>
      <c r="G12" s="522"/>
      <c r="H12" s="253">
        <f>SUMIF(70:70,G12,71:71)-SUMIF(70:70,C12,71:71)+100</f>
        <v>100</v>
      </c>
      <c r="I12" s="522"/>
      <c r="J12" s="253">
        <f>SUMIF(70:70,I12,71:71)-SUMIF(70:70,C12,71:71)+100</f>
        <v>100</v>
      </c>
      <c r="K12" s="854"/>
      <c r="L12" s="2014"/>
      <c r="M12" s="2015"/>
      <c r="N12" s="2015"/>
      <c r="O12" s="2016"/>
      <c r="P12" s="3658"/>
      <c r="Q12" s="1132">
        <f t="shared" si="6"/>
        <v>111</v>
      </c>
      <c r="R12" s="1499" t="s">
        <v>11</v>
      </c>
      <c r="S12" s="1500">
        <f t="shared" si="0"/>
        <v>100</v>
      </c>
      <c r="T12" s="1499" t="s">
        <v>11</v>
      </c>
      <c r="U12" s="1500">
        <f t="shared" si="1"/>
        <v>100</v>
      </c>
      <c r="V12" s="1499" t="s">
        <v>11</v>
      </c>
      <c r="W12" s="1500">
        <f t="shared" si="2"/>
        <v>100</v>
      </c>
      <c r="X12" s="1501"/>
      <c r="Y12" s="3604"/>
      <c r="Z12" s="1131">
        <f t="shared" si="7"/>
        <v>111</v>
      </c>
      <c r="AA12" s="1502">
        <f>D12/F12</f>
        <v>1</v>
      </c>
      <c r="AB12" s="1502">
        <f>D12/H12</f>
        <v>1</v>
      </c>
      <c r="AC12" s="1502">
        <f>D12/J12</f>
        <v>1</v>
      </c>
    </row>
    <row r="13" spans="1:29" ht="15">
      <c r="A13" s="2631"/>
      <c r="B13" s="2637">
        <v>111</v>
      </c>
      <c r="C13" s="533"/>
      <c r="D13" s="534">
        <v>100</v>
      </c>
      <c r="E13" s="533"/>
      <c r="F13" s="852">
        <f>SUMIF(72:72,E13,73:73)-SUMIF(72:72,C13,73:73)+100</f>
        <v>100</v>
      </c>
      <c r="G13" s="533"/>
      <c r="H13" s="534">
        <f>SUMIF(72:72,G13,73:73)-SUMIF(72:72,C13,73:73)+100</f>
        <v>100</v>
      </c>
      <c r="I13" s="533"/>
      <c r="J13" s="534">
        <f>SUMIF(72:72,I13,73:73)-SUMIF(72:72,C13,73:73)+100</f>
        <v>100</v>
      </c>
      <c r="K13" s="854"/>
      <c r="L13" s="2021"/>
      <c r="M13" s="2013"/>
      <c r="N13" s="2013"/>
      <c r="O13" s="2020"/>
      <c r="P13" s="3658"/>
      <c r="Q13" s="1132">
        <f t="shared" si="6"/>
        <v>111</v>
      </c>
      <c r="R13" s="1499" t="s">
        <v>11</v>
      </c>
      <c r="S13" s="1500">
        <f t="shared" si="0"/>
        <v>100</v>
      </c>
      <c r="T13" s="1499" t="s">
        <v>11</v>
      </c>
      <c r="U13" s="1500">
        <f t="shared" si="1"/>
        <v>100</v>
      </c>
      <c r="V13" s="1499" t="s">
        <v>11</v>
      </c>
      <c r="W13" s="1500">
        <f t="shared" si="2"/>
        <v>100</v>
      </c>
      <c r="X13" s="1501"/>
      <c r="Y13" s="3604"/>
      <c r="Z13" s="1131">
        <f t="shared" si="7"/>
        <v>111</v>
      </c>
      <c r="AA13" s="1502">
        <f t="shared" si="3"/>
        <v>1</v>
      </c>
      <c r="AB13" s="1502">
        <f t="shared" si="4"/>
        <v>1</v>
      </c>
      <c r="AC13" s="1502">
        <f t="shared" si="5"/>
        <v>1</v>
      </c>
    </row>
    <row r="14" spans="1:29" ht="15.75" thickBot="1">
      <c r="A14" s="2632"/>
      <c r="B14" s="2638">
        <v>111</v>
      </c>
      <c r="C14" s="539"/>
      <c r="D14" s="540">
        <v>100</v>
      </c>
      <c r="E14" s="539"/>
      <c r="F14" s="855">
        <f>SUMIF(74:74,E14,75:75)-SUMIF(74:74,C14,75:75)+100</f>
        <v>100</v>
      </c>
      <c r="G14" s="539"/>
      <c r="H14" s="540">
        <f>SUMIF(74:74,G14,75:75)-SUMIF(74:74,C14,75:75)+100</f>
        <v>100</v>
      </c>
      <c r="I14" s="539"/>
      <c r="J14" s="540">
        <f>SUMIF(74:74,I14,75:75)-SUMIF(74:74,C14,75:75)+100</f>
        <v>100</v>
      </c>
      <c r="K14" s="854"/>
      <c r="L14" s="2021"/>
      <c r="M14" s="2013"/>
      <c r="N14" s="2013"/>
      <c r="O14" s="2020"/>
      <c r="P14" s="3658"/>
      <c r="Q14" s="1132">
        <f t="shared" si="6"/>
        <v>111</v>
      </c>
      <c r="R14" s="1499" t="s">
        <v>11</v>
      </c>
      <c r="S14" s="1500">
        <f t="shared" si="0"/>
        <v>100</v>
      </c>
      <c r="T14" s="1499" t="s">
        <v>11</v>
      </c>
      <c r="U14" s="1500">
        <f t="shared" si="1"/>
        <v>100</v>
      </c>
      <c r="V14" s="1499" t="s">
        <v>11</v>
      </c>
      <c r="W14" s="1500">
        <f t="shared" si="2"/>
        <v>100</v>
      </c>
      <c r="X14" s="1501"/>
      <c r="Y14" s="3604"/>
      <c r="Z14" s="1131">
        <f t="shared" si="7"/>
        <v>111</v>
      </c>
      <c r="AA14" s="1502">
        <f t="shared" si="3"/>
        <v>1</v>
      </c>
      <c r="AB14" s="1502">
        <f t="shared" si="4"/>
        <v>1</v>
      </c>
      <c r="AC14" s="1502">
        <f t="shared" si="5"/>
        <v>1</v>
      </c>
    </row>
    <row r="15" spans="1:29" ht="99.75">
      <c r="A15" s="2624" t="s">
        <v>2731</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1"/>
      <c r="M15" s="2013"/>
      <c r="N15" s="2013"/>
      <c r="O15" s="2020"/>
      <c r="P15" s="3692" t="s">
        <v>534</v>
      </c>
      <c r="Q15" s="1503" t="str">
        <f t="shared" si="6"/>
        <v>居住社区成熟度</v>
      </c>
      <c r="R15" s="1504" t="s">
        <v>11</v>
      </c>
      <c r="S15" s="1505">
        <f t="shared" si="0"/>
        <v>100</v>
      </c>
      <c r="T15" s="1504" t="s">
        <v>11</v>
      </c>
      <c r="U15" s="1505">
        <f t="shared" si="1"/>
        <v>100</v>
      </c>
      <c r="V15" s="1504" t="s">
        <v>11</v>
      </c>
      <c r="W15" s="1505">
        <f t="shared" si="2"/>
        <v>100</v>
      </c>
      <c r="X15" s="1498"/>
      <c r="Y15" s="3692" t="s">
        <v>534</v>
      </c>
      <c r="Z15" s="1506" t="str">
        <f t="shared" si="7"/>
        <v>居住社区成熟度</v>
      </c>
      <c r="AA15" s="1507">
        <f t="shared" si="3"/>
        <v>1</v>
      </c>
      <c r="AB15" s="1507">
        <f t="shared" si="4"/>
        <v>1</v>
      </c>
      <c r="AC15" s="1507">
        <f t="shared" si="5"/>
        <v>1</v>
      </c>
    </row>
    <row r="16" spans="1:29" ht="15">
      <c r="A16" s="526"/>
      <c r="B16" s="858"/>
      <c r="C16" s="570"/>
      <c r="D16" s="549"/>
      <c r="E16" s="550"/>
      <c r="F16" s="551"/>
      <c r="G16" s="552"/>
      <c r="H16" s="553"/>
      <c r="I16" s="550"/>
      <c r="J16" s="549"/>
      <c r="K16" s="859"/>
      <c r="L16" s="2021"/>
      <c r="M16" s="2013"/>
      <c r="N16" s="2013"/>
      <c r="O16" s="2020"/>
      <c r="P16" s="3693"/>
      <c r="Q16" s="1503"/>
      <c r="R16" s="1504"/>
      <c r="S16" s="1505"/>
      <c r="T16" s="1504"/>
      <c r="U16" s="1505"/>
      <c r="V16" s="1504"/>
      <c r="W16" s="1505"/>
      <c r="X16" s="1498"/>
      <c r="Y16" s="3693"/>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1"/>
      <c r="M17" s="2013"/>
      <c r="N17" s="2013"/>
      <c r="O17" s="2020"/>
      <c r="P17" s="3693"/>
      <c r="Q17" s="1503" t="str">
        <f>B17</f>
        <v>交通便捷度</v>
      </c>
      <c r="R17" s="1504" t="s">
        <v>11</v>
      </c>
      <c r="S17" s="1505">
        <f>F17</f>
        <v>100</v>
      </c>
      <c r="T17" s="1504" t="s">
        <v>11</v>
      </c>
      <c r="U17" s="1505">
        <f>H17</f>
        <v>100</v>
      </c>
      <c r="V17" s="1504" t="s">
        <v>11</v>
      </c>
      <c r="W17" s="1505">
        <f>J17</f>
        <v>100</v>
      </c>
      <c r="X17" s="1498"/>
      <c r="Y17" s="3693"/>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59"/>
      <c r="L18" s="2021"/>
      <c r="M18" s="2013"/>
      <c r="N18" s="2013"/>
      <c r="O18" s="2020"/>
      <c r="P18" s="3693"/>
      <c r="Q18" s="1503"/>
      <c r="R18" s="1504"/>
      <c r="S18" s="1505"/>
      <c r="T18" s="1504"/>
      <c r="U18" s="1505"/>
      <c r="V18" s="1504"/>
      <c r="W18" s="1505"/>
      <c r="X18" s="1498"/>
      <c r="Y18" s="3693"/>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1"/>
      <c r="M19" s="2013"/>
      <c r="N19" s="2013"/>
      <c r="O19" s="2020"/>
      <c r="P19" s="3693"/>
      <c r="Q19" s="1503" t="str">
        <f>B19</f>
        <v>公共配套设施</v>
      </c>
      <c r="R19" s="1504" t="s">
        <v>11</v>
      </c>
      <c r="S19" s="1505">
        <f>F19</f>
        <v>100</v>
      </c>
      <c r="T19" s="1504" t="s">
        <v>11</v>
      </c>
      <c r="U19" s="1505">
        <f>H19</f>
        <v>100</v>
      </c>
      <c r="V19" s="1504" t="s">
        <v>11</v>
      </c>
      <c r="W19" s="1505">
        <f>J19</f>
        <v>100</v>
      </c>
      <c r="X19" s="1498"/>
      <c r="Y19" s="3693"/>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59"/>
      <c r="L20" s="2021"/>
      <c r="M20" s="2013"/>
      <c r="N20" s="2013"/>
      <c r="O20" s="2020"/>
      <c r="P20" s="3693"/>
      <c r="Q20" s="1503"/>
      <c r="R20" s="1504"/>
      <c r="S20" s="1505"/>
      <c r="T20" s="1504"/>
      <c r="U20" s="1505"/>
      <c r="V20" s="1504"/>
      <c r="W20" s="1505"/>
      <c r="X20" s="1498"/>
      <c r="Y20" s="3693"/>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1"/>
      <c r="M21" s="2013"/>
      <c r="N21" s="2013"/>
      <c r="O21" s="2020"/>
      <c r="P21" s="3693"/>
      <c r="Q21" s="2426" t="str">
        <f>B21</f>
        <v>基础设施水平</v>
      </c>
      <c r="R21" s="1504" t="s">
        <v>11</v>
      </c>
      <c r="S21" s="1505">
        <f>F21</f>
        <v>100</v>
      </c>
      <c r="T21" s="1504" t="s">
        <v>11</v>
      </c>
      <c r="U21" s="1505">
        <f>H21</f>
        <v>100</v>
      </c>
      <c r="V21" s="1504" t="s">
        <v>11</v>
      </c>
      <c r="W21" s="1505">
        <f>J21</f>
        <v>100</v>
      </c>
      <c r="X21" s="2428"/>
      <c r="Y21" s="3693"/>
      <c r="Z21" s="2427" t="str">
        <f>Q21</f>
        <v>基础设施水平</v>
      </c>
      <c r="AA21" s="1507">
        <f t="shared" ref="AA21" si="8">D21/F21</f>
        <v>1</v>
      </c>
      <c r="AB21" s="1507">
        <f t="shared" ref="AB21" si="9">D21/H21</f>
        <v>1</v>
      </c>
      <c r="AC21" s="1507">
        <f t="shared" ref="AC21" si="10">D21/J21</f>
        <v>1</v>
      </c>
    </row>
    <row r="22" spans="1:29" ht="15">
      <c r="A22" s="526"/>
      <c r="B22" s="910"/>
      <c r="C22" s="862"/>
      <c r="D22" s="549"/>
      <c r="E22" s="570"/>
      <c r="F22" s="551"/>
      <c r="G22" s="570"/>
      <c r="H22" s="549"/>
      <c r="I22" s="570"/>
      <c r="J22" s="549"/>
      <c r="K22" s="2440"/>
      <c r="L22" s="2021"/>
      <c r="M22" s="2013"/>
      <c r="N22" s="2013"/>
      <c r="O22" s="2020"/>
      <c r="P22" s="3693"/>
      <c r="Q22" s="2426"/>
      <c r="R22" s="1504"/>
      <c r="S22" s="1505"/>
      <c r="T22" s="1504"/>
      <c r="U22" s="1505"/>
      <c r="V22" s="1504"/>
      <c r="W22" s="1505"/>
      <c r="X22" s="2428"/>
      <c r="Y22" s="3693"/>
      <c r="Z22" s="2427"/>
      <c r="AA22" s="1507">
        <v>1</v>
      </c>
      <c r="AB22" s="1507">
        <v>1</v>
      </c>
      <c r="AC22" s="1507">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1"/>
      <c r="M23" s="2013"/>
      <c r="N23" s="2013"/>
      <c r="O23" s="2020"/>
      <c r="P23" s="3693"/>
      <c r="Q23" s="1503" t="str">
        <f>B23</f>
        <v>自然及人文环境</v>
      </c>
      <c r="R23" s="1504" t="s">
        <v>11</v>
      </c>
      <c r="S23" s="1505">
        <f>F23</f>
        <v>100</v>
      </c>
      <c r="T23" s="1504" t="s">
        <v>11</v>
      </c>
      <c r="U23" s="1505">
        <f>H23</f>
        <v>100</v>
      </c>
      <c r="V23" s="1504" t="s">
        <v>11</v>
      </c>
      <c r="W23" s="1505">
        <f>J23</f>
        <v>100</v>
      </c>
      <c r="X23" s="1498"/>
      <c r="Y23" s="3693"/>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59"/>
      <c r="L24" s="2021"/>
      <c r="M24" s="2013"/>
      <c r="N24" s="2013"/>
      <c r="O24" s="2020"/>
      <c r="P24" s="3693"/>
      <c r="Q24" s="1503"/>
      <c r="R24" s="1504"/>
      <c r="S24" s="1505"/>
      <c r="T24" s="1504"/>
      <c r="U24" s="1505"/>
      <c r="V24" s="1504"/>
      <c r="W24" s="1505"/>
      <c r="X24" s="1498"/>
      <c r="Y24" s="3693"/>
      <c r="Z24" s="1506"/>
      <c r="AA24" s="1507">
        <v>1</v>
      </c>
      <c r="AB24" s="1507">
        <v>1</v>
      </c>
      <c r="AC24" s="1507">
        <v>1</v>
      </c>
    </row>
    <row r="25" spans="1:29" ht="15">
      <c r="A25" s="526"/>
      <c r="B25" s="1806" t="s">
        <v>2243</v>
      </c>
      <c r="C25" s="568"/>
      <c r="D25" s="534">
        <v>100</v>
      </c>
      <c r="E25" s="863"/>
      <c r="F25" s="569">
        <f>SUMIF(86:86,E25,87:87)-SUMIF(86:86,C25,87:87)+100</f>
        <v>100</v>
      </c>
      <c r="G25" s="593"/>
      <c r="H25" s="534">
        <f>SUMIF(86:86,G25,87:87)-SUMIF(86:86,C25,87:87)+100</f>
        <v>100</v>
      </c>
      <c r="I25" s="863"/>
      <c r="J25" s="534">
        <f>SUMIF(86:86,I25,87:87)-SUMIF(86:86,C25,87:87)+100</f>
        <v>100</v>
      </c>
      <c r="K25" s="853"/>
      <c r="L25" s="2021"/>
      <c r="M25" s="2013"/>
      <c r="N25" s="2013"/>
      <c r="O25" s="2020"/>
      <c r="P25" s="3693"/>
      <c r="Q25" s="1503" t="str">
        <f t="shared" ref="Q25:Q46" si="11">B25</f>
        <v>楼层-1</v>
      </c>
      <c r="R25" s="1504" t="s">
        <v>11</v>
      </c>
      <c r="S25" s="1505">
        <f>F25</f>
        <v>100</v>
      </c>
      <c r="T25" s="1504" t="s">
        <v>11</v>
      </c>
      <c r="U25" s="1505">
        <f>H25</f>
        <v>100</v>
      </c>
      <c r="V25" s="1504" t="s">
        <v>11</v>
      </c>
      <c r="W25" s="1505">
        <f>J25</f>
        <v>100</v>
      </c>
      <c r="X25" s="1498"/>
      <c r="Y25" s="3693"/>
      <c r="Z25" s="1506" t="str">
        <f>Q25</f>
        <v>楼层-1</v>
      </c>
      <c r="AA25" s="1507">
        <f t="shared" si="3"/>
        <v>1</v>
      </c>
      <c r="AB25" s="1507">
        <f t="shared" si="4"/>
        <v>1</v>
      </c>
      <c r="AC25" s="1507">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1"/>
      <c r="M26" s="2013"/>
      <c r="N26" s="2013"/>
      <c r="O26" s="2020"/>
      <c r="P26" s="3693"/>
      <c r="Q26" s="1503" t="str">
        <f t="shared" si="11"/>
        <v>朝向</v>
      </c>
      <c r="R26" s="1504" t="s">
        <v>11</v>
      </c>
      <c r="S26" s="1505">
        <f>F26</f>
        <v>100</v>
      </c>
      <c r="T26" s="1504" t="s">
        <v>11</v>
      </c>
      <c r="U26" s="1505">
        <f>H26</f>
        <v>100</v>
      </c>
      <c r="V26" s="1504" t="s">
        <v>11</v>
      </c>
      <c r="W26" s="1505">
        <f>J26</f>
        <v>100</v>
      </c>
      <c r="X26" s="1498"/>
      <c r="Y26" s="3693"/>
      <c r="Z26" s="1506" t="str">
        <f>Q26</f>
        <v>朝向</v>
      </c>
      <c r="AA26" s="1507">
        <f t="shared" si="3"/>
        <v>1</v>
      </c>
      <c r="AB26" s="1507">
        <f t="shared" si="4"/>
        <v>1</v>
      </c>
      <c r="AC26" s="1507">
        <f t="shared" si="5"/>
        <v>1</v>
      </c>
    </row>
    <row r="27" spans="1:29" s="1201"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4"/>
      <c r="M27" s="2015"/>
      <c r="N27" s="2015"/>
      <c r="O27" s="2016"/>
      <c r="P27" s="3693"/>
      <c r="Q27" s="1132" t="str">
        <f t="shared" si="11"/>
        <v>道路级别</v>
      </c>
      <c r="R27" s="1499" t="s">
        <v>11</v>
      </c>
      <c r="S27" s="1500">
        <f>F27</f>
        <v>100</v>
      </c>
      <c r="T27" s="1499" t="s">
        <v>11</v>
      </c>
      <c r="U27" s="1500">
        <f>H27</f>
        <v>100</v>
      </c>
      <c r="V27" s="1499" t="s">
        <v>11</v>
      </c>
      <c r="W27" s="1500">
        <f>J27</f>
        <v>100</v>
      </c>
      <c r="X27" s="1501"/>
      <c r="Y27" s="3693"/>
      <c r="Z27" s="1131" t="str">
        <f>Q27</f>
        <v>道路级别</v>
      </c>
      <c r="AA27" s="1507">
        <f>D27/F27</f>
        <v>1</v>
      </c>
      <c r="AB27" s="1507">
        <f>D27/H27</f>
        <v>1</v>
      </c>
      <c r="AC27" s="1507">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1"/>
      <c r="M28" s="2013"/>
      <c r="N28" s="2013"/>
      <c r="O28" s="2020"/>
      <c r="P28" s="3693"/>
      <c r="Q28" s="1503">
        <f t="shared" si="11"/>
        <v>111</v>
      </c>
      <c r="R28" s="1504" t="s">
        <v>11</v>
      </c>
      <c r="S28" s="1505">
        <f t="shared" ref="S28:S46" si="12">F28</f>
        <v>100</v>
      </c>
      <c r="T28" s="1504" t="s">
        <v>11</v>
      </c>
      <c r="U28" s="1505">
        <f t="shared" ref="U28:U46" si="13">H28</f>
        <v>100</v>
      </c>
      <c r="V28" s="1504" t="s">
        <v>11</v>
      </c>
      <c r="W28" s="1505">
        <f t="shared" ref="W28:W46" si="14">J28</f>
        <v>100</v>
      </c>
      <c r="X28" s="1498"/>
      <c r="Y28" s="3693"/>
      <c r="Z28" s="1506">
        <f t="shared" ref="Z28:Z46" si="15">Q28</f>
        <v>111</v>
      </c>
      <c r="AA28" s="1507">
        <f t="shared" si="3"/>
        <v>1</v>
      </c>
      <c r="AB28" s="1507">
        <f t="shared" si="4"/>
        <v>1</v>
      </c>
      <c r="AC28" s="1507">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1"/>
      <c r="M29" s="2013"/>
      <c r="N29" s="2013"/>
      <c r="O29" s="2020"/>
      <c r="P29" s="3693"/>
      <c r="Q29" s="1503">
        <f t="shared" si="11"/>
        <v>111</v>
      </c>
      <c r="R29" s="1504" t="s">
        <v>11</v>
      </c>
      <c r="S29" s="1505">
        <f t="shared" si="12"/>
        <v>100</v>
      </c>
      <c r="T29" s="1504" t="s">
        <v>11</v>
      </c>
      <c r="U29" s="1505">
        <f t="shared" si="13"/>
        <v>100</v>
      </c>
      <c r="V29" s="1504" t="s">
        <v>11</v>
      </c>
      <c r="W29" s="1505">
        <f t="shared" si="14"/>
        <v>100</v>
      </c>
      <c r="X29" s="1498"/>
      <c r="Y29" s="3693"/>
      <c r="Z29" s="1506">
        <f t="shared" si="15"/>
        <v>111</v>
      </c>
      <c r="AA29" s="1507">
        <f t="shared" si="3"/>
        <v>1</v>
      </c>
      <c r="AB29" s="1507">
        <f t="shared" si="4"/>
        <v>1</v>
      </c>
      <c r="AC29" s="1507">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1"/>
      <c r="M30" s="2013"/>
      <c r="N30" s="2013"/>
      <c r="O30" s="2020"/>
      <c r="P30" s="3693"/>
      <c r="Q30" s="1503">
        <f t="shared" si="11"/>
        <v>111</v>
      </c>
      <c r="R30" s="1504" t="s">
        <v>11</v>
      </c>
      <c r="S30" s="1505">
        <f t="shared" si="12"/>
        <v>100</v>
      </c>
      <c r="T30" s="1504" t="s">
        <v>11</v>
      </c>
      <c r="U30" s="1505">
        <f t="shared" si="13"/>
        <v>100</v>
      </c>
      <c r="V30" s="1504" t="s">
        <v>11</v>
      </c>
      <c r="W30" s="1505">
        <f t="shared" si="14"/>
        <v>100</v>
      </c>
      <c r="X30" s="1498"/>
      <c r="Y30" s="3693"/>
      <c r="Z30" s="1506">
        <f t="shared" si="15"/>
        <v>111</v>
      </c>
      <c r="AA30" s="1507">
        <f t="shared" si="3"/>
        <v>1</v>
      </c>
      <c r="AB30" s="1507">
        <f t="shared" si="4"/>
        <v>1</v>
      </c>
      <c r="AC30" s="1507">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1"/>
      <c r="M31" s="2013"/>
      <c r="N31" s="2013"/>
      <c r="O31" s="2020"/>
      <c r="P31" s="3693"/>
      <c r="Q31" s="1503">
        <f t="shared" si="11"/>
        <v>111</v>
      </c>
      <c r="R31" s="1504" t="s">
        <v>11</v>
      </c>
      <c r="S31" s="1505">
        <f t="shared" si="12"/>
        <v>100</v>
      </c>
      <c r="T31" s="1504" t="s">
        <v>11</v>
      </c>
      <c r="U31" s="1505">
        <f t="shared" si="13"/>
        <v>100</v>
      </c>
      <c r="V31" s="1504" t="s">
        <v>11</v>
      </c>
      <c r="W31" s="1505">
        <f t="shared" si="14"/>
        <v>100</v>
      </c>
      <c r="X31" s="1498"/>
      <c r="Y31" s="3693"/>
      <c r="Z31" s="1506">
        <f t="shared" si="15"/>
        <v>111</v>
      </c>
      <c r="AA31" s="1507">
        <f t="shared" si="3"/>
        <v>1</v>
      </c>
      <c r="AB31" s="1507">
        <f t="shared" si="4"/>
        <v>1</v>
      </c>
      <c r="AC31" s="1507">
        <f t="shared" si="5"/>
        <v>1</v>
      </c>
    </row>
    <row r="32" spans="1:29" ht="15">
      <c r="A32" s="2621" t="s">
        <v>2732</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1"/>
      <c r="M32" s="2013"/>
      <c r="N32" s="2013"/>
      <c r="O32" s="2020"/>
      <c r="P32" s="3694" t="s">
        <v>544</v>
      </c>
      <c r="Q32" s="1503" t="str">
        <f t="shared" si="11"/>
        <v>建筑类型</v>
      </c>
      <c r="R32" s="1504" t="s">
        <v>11</v>
      </c>
      <c r="S32" s="1505">
        <f t="shared" si="12"/>
        <v>100</v>
      </c>
      <c r="T32" s="1504" t="s">
        <v>11</v>
      </c>
      <c r="U32" s="1505">
        <f t="shared" si="13"/>
        <v>100</v>
      </c>
      <c r="V32" s="1504" t="s">
        <v>11</v>
      </c>
      <c r="W32" s="1505">
        <f t="shared" si="14"/>
        <v>100</v>
      </c>
      <c r="X32" s="1498"/>
      <c r="Y32" s="3695" t="s">
        <v>544</v>
      </c>
      <c r="Z32" s="1506" t="str">
        <f t="shared" si="15"/>
        <v>建筑类型</v>
      </c>
      <c r="AA32" s="1507">
        <f t="shared" si="3"/>
        <v>1</v>
      </c>
      <c r="AB32" s="1507">
        <f t="shared" si="4"/>
        <v>1</v>
      </c>
      <c r="AC32" s="1507">
        <f t="shared" si="5"/>
        <v>1</v>
      </c>
    </row>
    <row r="33" spans="1:29" s="1291"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19"/>
      <c r="M33" s="2049"/>
      <c r="N33" s="2049"/>
      <c r="O33" s="2022"/>
      <c r="P33" s="3695"/>
      <c r="Q33" s="1532" t="str">
        <f t="shared" si="11"/>
        <v>项目建筑规模</v>
      </c>
      <c r="R33" s="1508" t="s">
        <v>11</v>
      </c>
      <c r="S33" s="1509" t="e">
        <f t="shared" si="12"/>
        <v>#N/A</v>
      </c>
      <c r="T33" s="1508" t="s">
        <v>11</v>
      </c>
      <c r="U33" s="1509" t="e">
        <f t="shared" si="13"/>
        <v>#N/A</v>
      </c>
      <c r="V33" s="1508" t="s">
        <v>11</v>
      </c>
      <c r="W33" s="1509" t="e">
        <f t="shared" si="14"/>
        <v>#N/A</v>
      </c>
      <c r="X33" s="1510"/>
      <c r="Y33" s="3695"/>
      <c r="Z33" s="1511" t="str">
        <f t="shared" si="15"/>
        <v>项目建筑规模</v>
      </c>
      <c r="AA33" s="1507" t="e">
        <f t="shared" si="3"/>
        <v>#N/A</v>
      </c>
      <c r="AB33" s="1507" t="e">
        <f t="shared" si="4"/>
        <v>#N/A</v>
      </c>
      <c r="AC33" s="1507"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1"/>
      <c r="M34" s="2013"/>
      <c r="N34" s="2013"/>
      <c r="O34" s="2020"/>
      <c r="P34" s="3695"/>
      <c r="Q34" s="1503" t="str">
        <f t="shared" si="11"/>
        <v>建筑结构</v>
      </c>
      <c r="R34" s="1504" t="s">
        <v>11</v>
      </c>
      <c r="S34" s="1505">
        <f t="shared" si="12"/>
        <v>100</v>
      </c>
      <c r="T34" s="1504" t="s">
        <v>11</v>
      </c>
      <c r="U34" s="1505">
        <f t="shared" si="13"/>
        <v>100</v>
      </c>
      <c r="V34" s="1504" t="s">
        <v>11</v>
      </c>
      <c r="W34" s="1505">
        <f t="shared" si="14"/>
        <v>100</v>
      </c>
      <c r="X34" s="1498"/>
      <c r="Y34" s="3695"/>
      <c r="Z34" s="1506" t="str">
        <f t="shared" si="15"/>
        <v>建筑结构</v>
      </c>
      <c r="AA34" s="1507">
        <f t="shared" si="3"/>
        <v>1</v>
      </c>
      <c r="AB34" s="1507">
        <f t="shared" si="4"/>
        <v>1</v>
      </c>
      <c r="AC34" s="1507">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1"/>
      <c r="M35" s="2013"/>
      <c r="N35" s="2013"/>
      <c r="O35" s="2020"/>
      <c r="P35" s="3695"/>
      <c r="Q35" s="1503" t="str">
        <f t="shared" si="11"/>
        <v>建筑品质</v>
      </c>
      <c r="R35" s="1504" t="s">
        <v>11</v>
      </c>
      <c r="S35" s="1505">
        <f t="shared" si="12"/>
        <v>100</v>
      </c>
      <c r="T35" s="1504" t="s">
        <v>11</v>
      </c>
      <c r="U35" s="1505">
        <f t="shared" si="13"/>
        <v>100</v>
      </c>
      <c r="V35" s="1504" t="s">
        <v>11</v>
      </c>
      <c r="W35" s="1505">
        <f t="shared" si="14"/>
        <v>100</v>
      </c>
      <c r="X35" s="1498"/>
      <c r="Y35" s="3695"/>
      <c r="Z35" s="1506" t="str">
        <f t="shared" si="15"/>
        <v>建筑品质</v>
      </c>
      <c r="AA35" s="1507">
        <f t="shared" si="3"/>
        <v>1</v>
      </c>
      <c r="AB35" s="1507">
        <f t="shared" si="4"/>
        <v>1</v>
      </c>
      <c r="AC35" s="1507">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1"/>
      <c r="M36" s="2013"/>
      <c r="N36" s="2013"/>
      <c r="O36" s="2020"/>
      <c r="P36" s="3695"/>
      <c r="Q36" s="1503" t="str">
        <f t="shared" si="11"/>
        <v>公共部分装修</v>
      </c>
      <c r="R36" s="1504" t="s">
        <v>11</v>
      </c>
      <c r="S36" s="1505">
        <f t="shared" si="12"/>
        <v>100</v>
      </c>
      <c r="T36" s="1504" t="s">
        <v>11</v>
      </c>
      <c r="U36" s="1505">
        <f t="shared" si="13"/>
        <v>100</v>
      </c>
      <c r="V36" s="1504" t="s">
        <v>11</v>
      </c>
      <c r="W36" s="1505">
        <f t="shared" si="14"/>
        <v>100</v>
      </c>
      <c r="X36" s="1498"/>
      <c r="Y36" s="3695"/>
      <c r="Z36" s="1506" t="str">
        <f t="shared" si="15"/>
        <v>公共部分装修</v>
      </c>
      <c r="AA36" s="1507">
        <f t="shared" si="3"/>
        <v>1</v>
      </c>
      <c r="AB36" s="1507">
        <f t="shared" si="4"/>
        <v>1</v>
      </c>
      <c r="AC36" s="1507">
        <f t="shared" si="5"/>
        <v>1</v>
      </c>
    </row>
    <row r="37" spans="1:29" s="1201"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4"/>
      <c r="M37" s="2015"/>
      <c r="N37" s="2015"/>
      <c r="O37" s="2016"/>
      <c r="P37" s="3695"/>
      <c r="Q37" s="1132" t="str">
        <f t="shared" si="11"/>
        <v>成新度</v>
      </c>
      <c r="R37" s="1499" t="s">
        <v>11</v>
      </c>
      <c r="S37" s="1500" t="e">
        <f t="shared" si="12"/>
        <v>#N/A</v>
      </c>
      <c r="T37" s="1499" t="s">
        <v>11</v>
      </c>
      <c r="U37" s="1500" t="e">
        <f t="shared" si="13"/>
        <v>#N/A</v>
      </c>
      <c r="V37" s="1499" t="s">
        <v>11</v>
      </c>
      <c r="W37" s="1500" t="e">
        <f t="shared" si="14"/>
        <v>#N/A</v>
      </c>
      <c r="X37" s="1501"/>
      <c r="Y37" s="3695"/>
      <c r="Z37" s="1131" t="str">
        <f t="shared" si="15"/>
        <v>成新度</v>
      </c>
      <c r="AA37" s="1502" t="e">
        <f t="shared" si="3"/>
        <v>#N/A</v>
      </c>
      <c r="AB37" s="1502" t="e">
        <f t="shared" si="4"/>
        <v>#N/A</v>
      </c>
      <c r="AC37" s="1502"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1"/>
      <c r="M38" s="2013"/>
      <c r="N38" s="2013"/>
      <c r="O38" s="2020"/>
      <c r="P38" s="3695" t="s">
        <v>544</v>
      </c>
      <c r="Q38" s="1503" t="str">
        <f t="shared" si="11"/>
        <v>物业管理</v>
      </c>
      <c r="R38" s="1504" t="s">
        <v>11</v>
      </c>
      <c r="S38" s="1505">
        <f t="shared" si="12"/>
        <v>100</v>
      </c>
      <c r="T38" s="1504" t="s">
        <v>11</v>
      </c>
      <c r="U38" s="1505">
        <f t="shared" si="13"/>
        <v>100</v>
      </c>
      <c r="V38" s="1504" t="s">
        <v>11</v>
      </c>
      <c r="W38" s="1505">
        <f t="shared" si="14"/>
        <v>100</v>
      </c>
      <c r="X38" s="1498"/>
      <c r="Y38" s="3695" t="s">
        <v>544</v>
      </c>
      <c r="Z38" s="1506" t="str">
        <f t="shared" si="15"/>
        <v>物业管理</v>
      </c>
      <c r="AA38" s="1507">
        <f t="shared" si="3"/>
        <v>1</v>
      </c>
      <c r="AB38" s="1507">
        <f t="shared" si="4"/>
        <v>1</v>
      </c>
      <c r="AC38" s="1507">
        <f t="shared" si="5"/>
        <v>1</v>
      </c>
    </row>
    <row r="39" spans="1:29" ht="15">
      <c r="A39" s="588"/>
      <c r="B39" s="1806" t="s">
        <v>2543</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1"/>
      <c r="M39" s="2013"/>
      <c r="N39" s="2013"/>
      <c r="O39" s="2020"/>
      <c r="P39" s="3695"/>
      <c r="Q39" s="1503" t="str">
        <f t="shared" si="11"/>
        <v>市政基础设施</v>
      </c>
      <c r="R39" s="1504" t="s">
        <v>11</v>
      </c>
      <c r="S39" s="1505">
        <f t="shared" si="12"/>
        <v>100</v>
      </c>
      <c r="T39" s="1504" t="s">
        <v>11</v>
      </c>
      <c r="U39" s="1505">
        <f t="shared" si="13"/>
        <v>100</v>
      </c>
      <c r="V39" s="1504" t="s">
        <v>11</v>
      </c>
      <c r="W39" s="1505">
        <f t="shared" si="14"/>
        <v>100</v>
      </c>
      <c r="X39" s="1498"/>
      <c r="Y39" s="3695"/>
      <c r="Z39" s="1506" t="str">
        <f t="shared" si="15"/>
        <v>市政基础设施</v>
      </c>
      <c r="AA39" s="1507">
        <f t="shared" si="3"/>
        <v>1</v>
      </c>
      <c r="AB39" s="1507">
        <f t="shared" si="4"/>
        <v>1</v>
      </c>
      <c r="AC39" s="1507">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1"/>
      <c r="M40" s="2013"/>
      <c r="N40" s="2013"/>
      <c r="O40" s="2020"/>
      <c r="P40" s="3695"/>
      <c r="Q40" s="1503" t="str">
        <f t="shared" si="11"/>
        <v>房型</v>
      </c>
      <c r="R40" s="1504" t="s">
        <v>11</v>
      </c>
      <c r="S40" s="1505">
        <f t="shared" si="12"/>
        <v>100</v>
      </c>
      <c r="T40" s="1504" t="s">
        <v>11</v>
      </c>
      <c r="U40" s="1505">
        <f t="shared" si="13"/>
        <v>100</v>
      </c>
      <c r="V40" s="1504" t="s">
        <v>11</v>
      </c>
      <c r="W40" s="1505">
        <f t="shared" si="14"/>
        <v>100</v>
      </c>
      <c r="X40" s="1498"/>
      <c r="Y40" s="3695"/>
      <c r="Z40" s="1506" t="str">
        <f t="shared" si="15"/>
        <v>房型</v>
      </c>
      <c r="AA40" s="1507">
        <f t="shared" si="3"/>
        <v>1</v>
      </c>
      <c r="AB40" s="1507">
        <f t="shared" si="4"/>
        <v>1</v>
      </c>
      <c r="AC40" s="1507">
        <f t="shared" si="5"/>
        <v>1</v>
      </c>
    </row>
    <row r="41" spans="1:29" s="1291"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19"/>
      <c r="M41" s="2049"/>
      <c r="N41" s="2049"/>
      <c r="O41" s="2022"/>
      <c r="P41" s="3695"/>
      <c r="Q41" s="1532" t="str">
        <f t="shared" si="11"/>
        <v>单套/主力户型建筑面积</v>
      </c>
      <c r="R41" s="1508" t="s">
        <v>11</v>
      </c>
      <c r="S41" s="1509">
        <f t="shared" si="12"/>
        <v>100</v>
      </c>
      <c r="T41" s="1508" t="s">
        <v>11</v>
      </c>
      <c r="U41" s="1509">
        <f t="shared" si="13"/>
        <v>100</v>
      </c>
      <c r="V41" s="1508" t="s">
        <v>11</v>
      </c>
      <c r="W41" s="1509">
        <f t="shared" si="14"/>
        <v>100</v>
      </c>
      <c r="X41" s="1510"/>
      <c r="Y41" s="3695"/>
      <c r="Z41" s="1511" t="str">
        <f t="shared" si="15"/>
        <v>单套/主力户型建筑面积</v>
      </c>
      <c r="AA41" s="1507">
        <f t="shared" si="3"/>
        <v>1</v>
      </c>
      <c r="AB41" s="1507">
        <f t="shared" si="4"/>
        <v>1</v>
      </c>
      <c r="AC41" s="1507">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1"/>
      <c r="M42" s="2013"/>
      <c r="N42" s="2013"/>
      <c r="O42" s="2020"/>
      <c r="P42" s="3695"/>
      <c r="Q42" s="1503" t="str">
        <f t="shared" si="11"/>
        <v>内部装修</v>
      </c>
      <c r="R42" s="1504" t="s">
        <v>11</v>
      </c>
      <c r="S42" s="1505">
        <f t="shared" si="12"/>
        <v>100</v>
      </c>
      <c r="T42" s="1504" t="s">
        <v>11</v>
      </c>
      <c r="U42" s="1505">
        <f t="shared" si="13"/>
        <v>100</v>
      </c>
      <c r="V42" s="1504" t="s">
        <v>11</v>
      </c>
      <c r="W42" s="1505">
        <f t="shared" si="14"/>
        <v>100</v>
      </c>
      <c r="X42" s="1498"/>
      <c r="Y42" s="3695"/>
      <c r="Z42" s="1506" t="str">
        <f t="shared" si="15"/>
        <v>内部装修</v>
      </c>
      <c r="AA42" s="1507">
        <f t="shared" si="3"/>
        <v>1</v>
      </c>
      <c r="AB42" s="1507">
        <f t="shared" si="4"/>
        <v>1</v>
      </c>
      <c r="AC42" s="1507">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1"/>
      <c r="M43" s="2013"/>
      <c r="N43" s="2013"/>
      <c r="O43" s="2020"/>
      <c r="P43" s="3695"/>
      <c r="Q43" s="1503" t="str">
        <f t="shared" si="11"/>
        <v>内部装修维护情况</v>
      </c>
      <c r="R43" s="1504" t="s">
        <v>11</v>
      </c>
      <c r="S43" s="1505">
        <f t="shared" si="12"/>
        <v>100</v>
      </c>
      <c r="T43" s="1504" t="s">
        <v>11</v>
      </c>
      <c r="U43" s="1505">
        <f t="shared" si="13"/>
        <v>100</v>
      </c>
      <c r="V43" s="1504" t="s">
        <v>11</v>
      </c>
      <c r="W43" s="1505">
        <f t="shared" si="14"/>
        <v>100</v>
      </c>
      <c r="X43" s="1498"/>
      <c r="Y43" s="3695"/>
      <c r="Z43" s="1506" t="str">
        <f t="shared" si="15"/>
        <v>内部装修维护情况</v>
      </c>
      <c r="AA43" s="1507">
        <f t="shared" si="3"/>
        <v>1</v>
      </c>
      <c r="AB43" s="1507">
        <f t="shared" si="4"/>
        <v>1</v>
      </c>
      <c r="AC43" s="1507">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4"/>
      <c r="M44" s="2015"/>
      <c r="N44" s="2015"/>
      <c r="O44" s="2016"/>
      <c r="P44" s="3695"/>
      <c r="Q44" s="1132">
        <f t="shared" si="11"/>
        <v>111</v>
      </c>
      <c r="R44" s="1499" t="s">
        <v>11</v>
      </c>
      <c r="S44" s="1500">
        <f t="shared" si="12"/>
        <v>100</v>
      </c>
      <c r="T44" s="1499" t="s">
        <v>11</v>
      </c>
      <c r="U44" s="1500">
        <f t="shared" si="13"/>
        <v>100</v>
      </c>
      <c r="V44" s="1499" t="s">
        <v>11</v>
      </c>
      <c r="W44" s="1500">
        <f t="shared" si="14"/>
        <v>100</v>
      </c>
      <c r="X44" s="1501"/>
      <c r="Y44" s="3695"/>
      <c r="Z44" s="1131">
        <f t="shared" si="15"/>
        <v>111</v>
      </c>
      <c r="AA44" s="1502">
        <f t="shared" si="3"/>
        <v>1</v>
      </c>
      <c r="AB44" s="1502">
        <f t="shared" si="4"/>
        <v>1</v>
      </c>
      <c r="AC44" s="1502">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1"/>
      <c r="M45" s="2013"/>
      <c r="N45" s="2013"/>
      <c r="O45" s="2020"/>
      <c r="P45" s="3695"/>
      <c r="Q45" s="1503">
        <f t="shared" si="11"/>
        <v>111</v>
      </c>
      <c r="R45" s="1504" t="s">
        <v>11</v>
      </c>
      <c r="S45" s="1505">
        <f t="shared" si="12"/>
        <v>100</v>
      </c>
      <c r="T45" s="1504" t="s">
        <v>11</v>
      </c>
      <c r="U45" s="1505">
        <f t="shared" si="13"/>
        <v>100</v>
      </c>
      <c r="V45" s="1504" t="s">
        <v>11</v>
      </c>
      <c r="W45" s="1505">
        <f t="shared" si="14"/>
        <v>100</v>
      </c>
      <c r="X45" s="1498"/>
      <c r="Y45" s="3695"/>
      <c r="Z45" s="1506">
        <f t="shared" si="15"/>
        <v>111</v>
      </c>
      <c r="AA45" s="1507">
        <f t="shared" si="3"/>
        <v>1</v>
      </c>
      <c r="AB45" s="1507">
        <f t="shared" si="4"/>
        <v>1</v>
      </c>
      <c r="AC45" s="1507">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1"/>
      <c r="M46" s="2013"/>
      <c r="N46" s="2013"/>
      <c r="O46" s="2020"/>
      <c r="P46" s="3754"/>
      <c r="Q46" s="1503">
        <f t="shared" si="11"/>
        <v>111</v>
      </c>
      <c r="R46" s="1504" t="s">
        <v>10</v>
      </c>
      <c r="S46" s="1505">
        <f t="shared" si="12"/>
        <v>100</v>
      </c>
      <c r="T46" s="1504" t="s">
        <v>10</v>
      </c>
      <c r="U46" s="1505">
        <f t="shared" si="13"/>
        <v>100</v>
      </c>
      <c r="V46" s="1504" t="s">
        <v>10</v>
      </c>
      <c r="W46" s="1505">
        <f t="shared" si="14"/>
        <v>100</v>
      </c>
      <c r="X46" s="1498"/>
      <c r="Y46" s="3754"/>
      <c r="Z46" s="1506">
        <f t="shared" si="15"/>
        <v>111</v>
      </c>
      <c r="AA46" s="1507">
        <f t="shared" si="3"/>
        <v>1</v>
      </c>
      <c r="AB46" s="1507">
        <f t="shared" si="4"/>
        <v>1</v>
      </c>
      <c r="AC46" s="1507">
        <f t="shared" si="5"/>
        <v>1</v>
      </c>
    </row>
    <row r="47" spans="1:29" ht="15">
      <c r="A47" s="601" t="s">
        <v>730</v>
      </c>
      <c r="B47" s="876"/>
      <c r="C47" s="2467" t="s">
        <v>9</v>
      </c>
      <c r="D47" s="2468"/>
      <c r="E47" s="2469"/>
      <c r="F47" s="2470"/>
      <c r="G47" s="2471"/>
      <c r="H47" s="2472"/>
      <c r="I47" s="2469"/>
      <c r="J47" s="2472"/>
      <c r="K47" s="1533"/>
      <c r="L47" s="2023"/>
      <c r="M47" s="2024"/>
      <c r="N47" s="2013"/>
      <c r="O47" s="2024"/>
      <c r="P47" s="3658" t="str">
        <f>A47</f>
        <v>成交单价（元/平方米）</v>
      </c>
      <c r="Q47" s="3658"/>
      <c r="R47" s="3753">
        <f>E47</f>
        <v>0</v>
      </c>
      <c r="S47" s="3753"/>
      <c r="T47" s="3753">
        <f>G47</f>
        <v>0</v>
      </c>
      <c r="U47" s="3753"/>
      <c r="V47" s="3753">
        <f>I47</f>
        <v>0</v>
      </c>
      <c r="W47" s="3753"/>
      <c r="X47" s="1493"/>
      <c r="Y47" s="1512"/>
      <c r="Z47" s="1493"/>
      <c r="AA47" s="1493"/>
      <c r="AB47" s="1493"/>
      <c r="AC47" s="1493"/>
    </row>
    <row r="48" spans="1:29" ht="15.75" thickBot="1">
      <c r="A48" s="609" t="s">
        <v>2737</v>
      </c>
      <c r="B48" s="877"/>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58" t="str">
        <f>A48</f>
        <v>比较价格（元/平方米）</v>
      </c>
      <c r="Q48" s="3658"/>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493"/>
      <c r="Y48" s="1493"/>
      <c r="Z48" s="1493"/>
      <c r="AA48" s="1493"/>
      <c r="AB48" s="1493"/>
      <c r="AC48" s="1493"/>
    </row>
    <row r="49" spans="1:29" ht="15.75" thickBot="1">
      <c r="A49" s="613" t="s">
        <v>2896</v>
      </c>
      <c r="B49" s="614"/>
      <c r="C49" s="2475" t="e">
        <f>R49</f>
        <v>#DIV/0!</v>
      </c>
      <c r="D49" s="2475"/>
      <c r="E49" s="2475"/>
      <c r="F49" s="2475"/>
      <c r="G49" s="2475"/>
      <c r="H49" s="2475"/>
      <c r="I49" s="2475"/>
      <c r="J49" s="2475"/>
      <c r="K49" s="1534"/>
      <c r="L49" s="2023"/>
      <c r="M49" s="2024"/>
      <c r="N49" s="2024"/>
      <c r="O49" s="2024"/>
      <c r="P49" s="3655" t="str">
        <f>A49</f>
        <v>估价对象XX用房的比较价格（楼面单价，元/平方米）</v>
      </c>
      <c r="Q49" s="3656"/>
      <c r="R49" s="3752" t="e">
        <f>IF(F1="售价",ROUND(IF(D48="简单平均",AVERAGE(R48:V48),R48*F48+T48*H48+V48*J48),0),ROUND(IF(D48="简单平均",AVERAGE(R48:V48),R48*F48+T48*H48+V48*J48),1))</f>
        <v>#DIV/0!</v>
      </c>
      <c r="S49" s="3752"/>
      <c r="T49" s="3752"/>
      <c r="U49" s="3752"/>
      <c r="V49" s="3752"/>
      <c r="W49" s="3752"/>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8" t="str">
        <f>YEAR(C7)&amp;"-"&amp;MONTH(C7)</f>
        <v>2021-6</v>
      </c>
      <c r="D58" s="2518">
        <f>EDATE(C58,-1)</f>
        <v>44317</v>
      </c>
      <c r="E58" s="2518">
        <f t="shared" ref="E58:O58" si="16">EDATE(D58,-1)</f>
        <v>44287</v>
      </c>
      <c r="F58" s="2518">
        <f t="shared" si="16"/>
        <v>44256</v>
      </c>
      <c r="G58" s="2518">
        <f t="shared" si="16"/>
        <v>44228</v>
      </c>
      <c r="H58" s="2518">
        <f t="shared" si="16"/>
        <v>44197</v>
      </c>
      <c r="I58" s="2518">
        <f t="shared" si="16"/>
        <v>44166</v>
      </c>
      <c r="J58" s="2518">
        <f t="shared" si="16"/>
        <v>44136</v>
      </c>
      <c r="K58" s="2518">
        <f t="shared" si="16"/>
        <v>44105</v>
      </c>
      <c r="L58" s="2518">
        <f t="shared" si="16"/>
        <v>44075</v>
      </c>
      <c r="M58" s="2518">
        <f t="shared" si="16"/>
        <v>44044</v>
      </c>
      <c r="N58" s="2518">
        <f t="shared" si="16"/>
        <v>44013</v>
      </c>
      <c r="O58" s="2518">
        <f t="shared" si="16"/>
        <v>43983</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c r="E59" s="642"/>
      <c r="F59" s="642"/>
      <c r="G59" s="642"/>
      <c r="H59" s="642"/>
      <c r="I59" s="642"/>
      <c r="J59" s="642"/>
      <c r="K59" s="642"/>
      <c r="L59" s="642"/>
      <c r="M59" s="642"/>
      <c r="N59" s="642"/>
      <c r="O59" s="642"/>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902"/>
    </row>
    <row r="63" spans="1:29">
      <c r="A63" s="656" t="s">
        <v>571</v>
      </c>
      <c r="B63" s="657" t="s">
        <v>528</v>
      </c>
      <c r="C63" s="696">
        <f>C9</f>
        <v>0</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c r="D64" s="663"/>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c r="D68" s="535"/>
      <c r="E68" s="535"/>
      <c r="F68" s="535"/>
      <c r="G68" s="535"/>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9"/>
      <c r="B73" s="670"/>
      <c r="C73" s="684"/>
      <c r="D73" s="684"/>
      <c r="E73" s="684"/>
      <c r="F73" s="684"/>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1807" t="s">
        <v>2244</v>
      </c>
      <c r="C86" s="680"/>
      <c r="D86" s="680"/>
      <c r="E86" s="680"/>
      <c r="F86" s="680"/>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
        <v>740</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道路级别</v>
      </c>
      <c r="C90" s="680"/>
      <c r="D90" s="680"/>
      <c r="E90" s="680"/>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684"/>
      <c r="D91" s="684"/>
      <c r="E91" s="684"/>
      <c r="F91" s="684"/>
      <c r="G91" s="684"/>
      <c r="H91" s="685"/>
      <c r="I91" s="685"/>
      <c r="J91" s="685"/>
      <c r="K91" s="685"/>
      <c r="L91" s="685"/>
      <c r="M91" s="686"/>
      <c r="N91" s="2045"/>
      <c r="O91" s="2045"/>
      <c r="P91" s="2046"/>
      <c r="Q91" s="2047"/>
      <c r="R91" s="2048"/>
      <c r="S91" s="2048"/>
      <c r="T91" s="2048"/>
      <c r="U91" s="2048"/>
      <c r="V91" s="2048"/>
      <c r="W91" s="2048"/>
      <c r="X91" s="2048"/>
      <c r="Y91" s="2048"/>
      <c r="Z91" s="2048"/>
      <c r="AA91" s="2048"/>
      <c r="AB91" s="2048"/>
      <c r="AC91" s="2048"/>
    </row>
    <row r="92" spans="1:29" ht="15.75" thickTop="1">
      <c r="A92" s="661"/>
      <c r="B92" s="665">
        <f>B28</f>
        <v>111</v>
      </c>
      <c r="C92" s="680"/>
      <c r="D92" s="680"/>
      <c r="E92" s="680"/>
      <c r="F92" s="680"/>
      <c r="G92" s="710"/>
      <c r="H92" s="710"/>
      <c r="I92" s="710"/>
      <c r="J92" s="710"/>
      <c r="K92" s="711"/>
      <c r="L92" s="712"/>
      <c r="M92" s="713"/>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84"/>
      <c r="D93" s="663"/>
      <c r="E93" s="663"/>
      <c r="F93" s="663"/>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84"/>
      <c r="E95" s="684"/>
      <c r="F95" s="684"/>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92"/>
      <c r="D97" s="692"/>
      <c r="E97" s="692"/>
      <c r="F97" s="692"/>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714"/>
      <c r="D98" s="714"/>
      <c r="E98" s="714"/>
      <c r="F98" s="714"/>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718"/>
      <c r="D99" s="718"/>
      <c r="E99" s="718"/>
      <c r="F99" s="718"/>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741</v>
      </c>
      <c r="C100" s="592"/>
      <c r="D100" s="592"/>
      <c r="E100" s="592"/>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c r="D103" s="722"/>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c r="D104" s="663"/>
      <c r="E104" s="663"/>
      <c r="F104" s="663"/>
      <c r="G104" s="663"/>
      <c r="H104" s="663"/>
      <c r="I104" s="663"/>
      <c r="J104" s="663"/>
      <c r="K104" s="663"/>
      <c r="L104" s="663"/>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680"/>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744</v>
      </c>
      <c r="C107" s="710"/>
      <c r="D107" s="710"/>
      <c r="E107" s="710"/>
      <c r="F107" s="710"/>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745</v>
      </c>
      <c r="C109" s="680"/>
      <c r="D109" s="680"/>
      <c r="E109" s="680"/>
      <c r="F109" s="710"/>
      <c r="G109" s="710"/>
      <c r="H109" s="71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20"/>
      <c r="B112" s="673"/>
      <c r="C112" s="883">
        <v>0.5</v>
      </c>
      <c r="D112" s="883">
        <v>0.6</v>
      </c>
      <c r="E112" s="883">
        <v>0.7</v>
      </c>
      <c r="F112" s="883">
        <v>0.8</v>
      </c>
      <c r="G112" s="883">
        <v>0.9</v>
      </c>
      <c r="H112" s="883">
        <v>1.0001</v>
      </c>
      <c r="I112" s="883"/>
      <c r="J112" s="884"/>
      <c r="K112" s="884"/>
      <c r="L112" s="885"/>
      <c r="M112" s="886"/>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747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1807" t="s">
        <v>2535</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748</v>
      </c>
      <c r="C118" s="710"/>
      <c r="D118" s="710"/>
      <c r="E118" s="710"/>
      <c r="F118" s="710"/>
      <c r="G118" s="710"/>
      <c r="H118" s="710"/>
      <c r="I118" s="710"/>
      <c r="J118" s="710"/>
      <c r="K118" s="711"/>
      <c r="L118" s="712"/>
      <c r="M118" s="71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20"/>
      <c r="B120" s="665" t="s">
        <v>727</v>
      </c>
      <c r="C120" s="680"/>
      <c r="D120" s="680"/>
      <c r="E120" s="680"/>
      <c r="F120" s="680"/>
      <c r="G120" s="680"/>
      <c r="H120" s="680"/>
      <c r="I120" s="680"/>
      <c r="J120" s="680"/>
      <c r="K120" s="680"/>
      <c r="L120" s="879"/>
      <c r="M120" s="880"/>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684"/>
      <c r="D121" s="663"/>
      <c r="E121" s="663"/>
      <c r="F121" s="663"/>
      <c r="G121" s="663"/>
      <c r="H121" s="663"/>
      <c r="I121" s="663"/>
      <c r="J121" s="663"/>
      <c r="K121" s="663"/>
      <c r="L121" s="663"/>
      <c r="M121" s="663"/>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680"/>
      <c r="D122" s="680"/>
      <c r="E122" s="680"/>
      <c r="F122" s="710"/>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84"/>
      <c r="E129" s="684"/>
      <c r="F129" s="684"/>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5">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5">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5">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2">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I20 E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D48" xr:uid="{00000000-0002-0000-1E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autoPageBreaks="0" fitToPage="1"/>
  </sheetPr>
  <dimension ref="A1:T59"/>
  <sheetViews>
    <sheetView workbookViewId="0">
      <pane ySplit="1" topLeftCell="A2" activePane="bottomLeft" state="frozen"/>
      <selection pane="bottomLeft" activeCell="I4" sqref="I4"/>
    </sheetView>
  </sheetViews>
  <sheetFormatPr defaultRowHeight="12.75"/>
  <cols>
    <col min="1" max="1" width="15.125" style="3377" customWidth="1"/>
    <col min="2" max="2" width="6.25" style="3377" hidden="1" customWidth="1"/>
    <col min="3" max="3" width="7.625" style="3377" hidden="1" customWidth="1"/>
    <col min="4" max="4" width="7.875" style="3377" hidden="1" customWidth="1"/>
    <col min="5" max="5" width="10.875" style="3377" hidden="1" customWidth="1"/>
    <col min="6" max="6" width="42.25" style="3377" hidden="1" customWidth="1"/>
    <col min="7" max="7" width="8.375" style="3377" customWidth="1"/>
    <col min="8" max="8" width="7.5" style="3377" customWidth="1"/>
    <col min="9" max="9" width="7.375" style="3377" customWidth="1"/>
    <col min="10" max="10" width="7.875" style="3377" hidden="1" customWidth="1"/>
    <col min="11" max="11" width="9" style="3377" customWidth="1"/>
    <col min="12" max="12" width="12.5" style="3377" hidden="1" customWidth="1"/>
    <col min="13" max="13" width="7.375" style="3377" customWidth="1"/>
    <col min="14" max="14" width="11" style="3377" hidden="1" customWidth="1"/>
    <col min="15" max="15" width="9.5" style="3377" customWidth="1"/>
    <col min="16" max="16" width="6.25" style="3377" customWidth="1"/>
    <col min="17" max="17" width="8" style="3377" customWidth="1"/>
    <col min="18" max="18" width="16.875" style="3377" hidden="1" customWidth="1"/>
    <col min="19" max="19" width="7.875" style="3377" customWidth="1"/>
    <col min="20" max="256" width="9" style="3377"/>
    <col min="257" max="257" width="50.875" style="3377" customWidth="1"/>
    <col min="258" max="258" width="6.25" style="3377" customWidth="1"/>
    <col min="259" max="259" width="11.75" style="3377" customWidth="1"/>
    <col min="260" max="260" width="7.875" style="3377" customWidth="1"/>
    <col min="261" max="261" width="10.875" style="3377" customWidth="1"/>
    <col min="262" max="262" width="42.25" style="3377" customWidth="1"/>
    <col min="263" max="264" width="13.875" style="3377" customWidth="1"/>
    <col min="265" max="265" width="31" style="3377" customWidth="1"/>
    <col min="266" max="266" width="7.875" style="3377" customWidth="1"/>
    <col min="267" max="267" width="9" style="3377" customWidth="1"/>
    <col min="268" max="268" width="26.125" style="3377" customWidth="1"/>
    <col min="269" max="269" width="10.625" style="3377" customWidth="1"/>
    <col min="270" max="270" width="16" style="3377" customWidth="1"/>
    <col min="271" max="271" width="14.375" style="3377" customWidth="1"/>
    <col min="272" max="272" width="6.25" style="3377" customWidth="1"/>
    <col min="273" max="273" width="8" style="3377" customWidth="1"/>
    <col min="274" max="274" width="16.875" style="3377" customWidth="1"/>
    <col min="275" max="275" width="7.875" style="3377" customWidth="1"/>
    <col min="276" max="512" width="9" style="3377"/>
    <col min="513" max="513" width="50.875" style="3377" customWidth="1"/>
    <col min="514" max="514" width="6.25" style="3377" customWidth="1"/>
    <col min="515" max="515" width="11.75" style="3377" customWidth="1"/>
    <col min="516" max="516" width="7.875" style="3377" customWidth="1"/>
    <col min="517" max="517" width="10.875" style="3377" customWidth="1"/>
    <col min="518" max="518" width="42.25" style="3377" customWidth="1"/>
    <col min="519" max="520" width="13.875" style="3377" customWidth="1"/>
    <col min="521" max="521" width="31" style="3377" customWidth="1"/>
    <col min="522" max="522" width="7.875" style="3377" customWidth="1"/>
    <col min="523" max="523" width="9" style="3377" customWidth="1"/>
    <col min="524" max="524" width="26.125" style="3377" customWidth="1"/>
    <col min="525" max="525" width="10.625" style="3377" customWidth="1"/>
    <col min="526" max="526" width="16" style="3377" customWidth="1"/>
    <col min="527" max="527" width="14.375" style="3377" customWidth="1"/>
    <col min="528" max="528" width="6.25" style="3377" customWidth="1"/>
    <col min="529" max="529" width="8" style="3377" customWidth="1"/>
    <col min="530" max="530" width="16.875" style="3377" customWidth="1"/>
    <col min="531" max="531" width="7.875" style="3377" customWidth="1"/>
    <col min="532" max="768" width="9" style="3377"/>
    <col min="769" max="769" width="50.875" style="3377" customWidth="1"/>
    <col min="770" max="770" width="6.25" style="3377" customWidth="1"/>
    <col min="771" max="771" width="11.75" style="3377" customWidth="1"/>
    <col min="772" max="772" width="7.875" style="3377" customWidth="1"/>
    <col min="773" max="773" width="10.875" style="3377" customWidth="1"/>
    <col min="774" max="774" width="42.25" style="3377" customWidth="1"/>
    <col min="775" max="776" width="13.875" style="3377" customWidth="1"/>
    <col min="777" max="777" width="31" style="3377" customWidth="1"/>
    <col min="778" max="778" width="7.875" style="3377" customWidth="1"/>
    <col min="779" max="779" width="9" style="3377" customWidth="1"/>
    <col min="780" max="780" width="26.125" style="3377" customWidth="1"/>
    <col min="781" max="781" width="10.625" style="3377" customWidth="1"/>
    <col min="782" max="782" width="16" style="3377" customWidth="1"/>
    <col min="783" max="783" width="14.375" style="3377" customWidth="1"/>
    <col min="784" max="784" width="6.25" style="3377" customWidth="1"/>
    <col min="785" max="785" width="8" style="3377" customWidth="1"/>
    <col min="786" max="786" width="16.875" style="3377" customWidth="1"/>
    <col min="787" max="787" width="7.875" style="3377" customWidth="1"/>
    <col min="788" max="1024" width="9" style="3377"/>
    <col min="1025" max="1025" width="50.875" style="3377" customWidth="1"/>
    <col min="1026" max="1026" width="6.25" style="3377" customWidth="1"/>
    <col min="1027" max="1027" width="11.75" style="3377" customWidth="1"/>
    <col min="1028" max="1028" width="7.875" style="3377" customWidth="1"/>
    <col min="1029" max="1029" width="10.875" style="3377" customWidth="1"/>
    <col min="1030" max="1030" width="42.25" style="3377" customWidth="1"/>
    <col min="1031" max="1032" width="13.875" style="3377" customWidth="1"/>
    <col min="1033" max="1033" width="31" style="3377" customWidth="1"/>
    <col min="1034" max="1034" width="7.875" style="3377" customWidth="1"/>
    <col min="1035" max="1035" width="9" style="3377" customWidth="1"/>
    <col min="1036" max="1036" width="26.125" style="3377" customWidth="1"/>
    <col min="1037" max="1037" width="10.625" style="3377" customWidth="1"/>
    <col min="1038" max="1038" width="16" style="3377" customWidth="1"/>
    <col min="1039" max="1039" width="14.375" style="3377" customWidth="1"/>
    <col min="1040" max="1040" width="6.25" style="3377" customWidth="1"/>
    <col min="1041" max="1041" width="8" style="3377" customWidth="1"/>
    <col min="1042" max="1042" width="16.875" style="3377" customWidth="1"/>
    <col min="1043" max="1043" width="7.875" style="3377" customWidth="1"/>
    <col min="1044" max="1280" width="9" style="3377"/>
    <col min="1281" max="1281" width="50.875" style="3377" customWidth="1"/>
    <col min="1282" max="1282" width="6.25" style="3377" customWidth="1"/>
    <col min="1283" max="1283" width="11.75" style="3377" customWidth="1"/>
    <col min="1284" max="1284" width="7.875" style="3377" customWidth="1"/>
    <col min="1285" max="1285" width="10.875" style="3377" customWidth="1"/>
    <col min="1286" max="1286" width="42.25" style="3377" customWidth="1"/>
    <col min="1287" max="1288" width="13.875" style="3377" customWidth="1"/>
    <col min="1289" max="1289" width="31" style="3377" customWidth="1"/>
    <col min="1290" max="1290" width="7.875" style="3377" customWidth="1"/>
    <col min="1291" max="1291" width="9" style="3377" customWidth="1"/>
    <col min="1292" max="1292" width="26.125" style="3377" customWidth="1"/>
    <col min="1293" max="1293" width="10.625" style="3377" customWidth="1"/>
    <col min="1294" max="1294" width="16" style="3377" customWidth="1"/>
    <col min="1295" max="1295" width="14.375" style="3377" customWidth="1"/>
    <col min="1296" max="1296" width="6.25" style="3377" customWidth="1"/>
    <col min="1297" max="1297" width="8" style="3377" customWidth="1"/>
    <col min="1298" max="1298" width="16.875" style="3377" customWidth="1"/>
    <col min="1299" max="1299" width="7.875" style="3377" customWidth="1"/>
    <col min="1300" max="1536" width="9" style="3377"/>
    <col min="1537" max="1537" width="50.875" style="3377" customWidth="1"/>
    <col min="1538" max="1538" width="6.25" style="3377" customWidth="1"/>
    <col min="1539" max="1539" width="11.75" style="3377" customWidth="1"/>
    <col min="1540" max="1540" width="7.875" style="3377" customWidth="1"/>
    <col min="1541" max="1541" width="10.875" style="3377" customWidth="1"/>
    <col min="1542" max="1542" width="42.25" style="3377" customWidth="1"/>
    <col min="1543" max="1544" width="13.875" style="3377" customWidth="1"/>
    <col min="1545" max="1545" width="31" style="3377" customWidth="1"/>
    <col min="1546" max="1546" width="7.875" style="3377" customWidth="1"/>
    <col min="1547" max="1547" width="9" style="3377" customWidth="1"/>
    <col min="1548" max="1548" width="26.125" style="3377" customWidth="1"/>
    <col min="1549" max="1549" width="10.625" style="3377" customWidth="1"/>
    <col min="1550" max="1550" width="16" style="3377" customWidth="1"/>
    <col min="1551" max="1551" width="14.375" style="3377" customWidth="1"/>
    <col min="1552" max="1552" width="6.25" style="3377" customWidth="1"/>
    <col min="1553" max="1553" width="8" style="3377" customWidth="1"/>
    <col min="1554" max="1554" width="16.875" style="3377" customWidth="1"/>
    <col min="1555" max="1555" width="7.875" style="3377" customWidth="1"/>
    <col min="1556" max="1792" width="9" style="3377"/>
    <col min="1793" max="1793" width="50.875" style="3377" customWidth="1"/>
    <col min="1794" max="1794" width="6.25" style="3377" customWidth="1"/>
    <col min="1795" max="1795" width="11.75" style="3377" customWidth="1"/>
    <col min="1796" max="1796" width="7.875" style="3377" customWidth="1"/>
    <col min="1797" max="1797" width="10.875" style="3377" customWidth="1"/>
    <col min="1798" max="1798" width="42.25" style="3377" customWidth="1"/>
    <col min="1799" max="1800" width="13.875" style="3377" customWidth="1"/>
    <col min="1801" max="1801" width="31" style="3377" customWidth="1"/>
    <col min="1802" max="1802" width="7.875" style="3377" customWidth="1"/>
    <col min="1803" max="1803" width="9" style="3377" customWidth="1"/>
    <col min="1804" max="1804" width="26.125" style="3377" customWidth="1"/>
    <col min="1805" max="1805" width="10.625" style="3377" customWidth="1"/>
    <col min="1806" max="1806" width="16" style="3377" customWidth="1"/>
    <col min="1807" max="1807" width="14.375" style="3377" customWidth="1"/>
    <col min="1808" max="1808" width="6.25" style="3377" customWidth="1"/>
    <col min="1809" max="1809" width="8" style="3377" customWidth="1"/>
    <col min="1810" max="1810" width="16.875" style="3377" customWidth="1"/>
    <col min="1811" max="1811" width="7.875" style="3377" customWidth="1"/>
    <col min="1812" max="2048" width="9" style="3377"/>
    <col min="2049" max="2049" width="50.875" style="3377" customWidth="1"/>
    <col min="2050" max="2050" width="6.25" style="3377" customWidth="1"/>
    <col min="2051" max="2051" width="11.75" style="3377" customWidth="1"/>
    <col min="2052" max="2052" width="7.875" style="3377" customWidth="1"/>
    <col min="2053" max="2053" width="10.875" style="3377" customWidth="1"/>
    <col min="2054" max="2054" width="42.25" style="3377" customWidth="1"/>
    <col min="2055" max="2056" width="13.875" style="3377" customWidth="1"/>
    <col min="2057" max="2057" width="31" style="3377" customWidth="1"/>
    <col min="2058" max="2058" width="7.875" style="3377" customWidth="1"/>
    <col min="2059" max="2059" width="9" style="3377" customWidth="1"/>
    <col min="2060" max="2060" width="26.125" style="3377" customWidth="1"/>
    <col min="2061" max="2061" width="10.625" style="3377" customWidth="1"/>
    <col min="2062" max="2062" width="16" style="3377" customWidth="1"/>
    <col min="2063" max="2063" width="14.375" style="3377" customWidth="1"/>
    <col min="2064" max="2064" width="6.25" style="3377" customWidth="1"/>
    <col min="2065" max="2065" width="8" style="3377" customWidth="1"/>
    <col min="2066" max="2066" width="16.875" style="3377" customWidth="1"/>
    <col min="2067" max="2067" width="7.875" style="3377" customWidth="1"/>
    <col min="2068" max="2304" width="9" style="3377"/>
    <col min="2305" max="2305" width="50.875" style="3377" customWidth="1"/>
    <col min="2306" max="2306" width="6.25" style="3377" customWidth="1"/>
    <col min="2307" max="2307" width="11.75" style="3377" customWidth="1"/>
    <col min="2308" max="2308" width="7.875" style="3377" customWidth="1"/>
    <col min="2309" max="2309" width="10.875" style="3377" customWidth="1"/>
    <col min="2310" max="2310" width="42.25" style="3377" customWidth="1"/>
    <col min="2311" max="2312" width="13.875" style="3377" customWidth="1"/>
    <col min="2313" max="2313" width="31" style="3377" customWidth="1"/>
    <col min="2314" max="2314" width="7.875" style="3377" customWidth="1"/>
    <col min="2315" max="2315" width="9" style="3377" customWidth="1"/>
    <col min="2316" max="2316" width="26.125" style="3377" customWidth="1"/>
    <col min="2317" max="2317" width="10.625" style="3377" customWidth="1"/>
    <col min="2318" max="2318" width="16" style="3377" customWidth="1"/>
    <col min="2319" max="2319" width="14.375" style="3377" customWidth="1"/>
    <col min="2320" max="2320" width="6.25" style="3377" customWidth="1"/>
    <col min="2321" max="2321" width="8" style="3377" customWidth="1"/>
    <col min="2322" max="2322" width="16.875" style="3377" customWidth="1"/>
    <col min="2323" max="2323" width="7.875" style="3377" customWidth="1"/>
    <col min="2324" max="2560" width="9" style="3377"/>
    <col min="2561" max="2561" width="50.875" style="3377" customWidth="1"/>
    <col min="2562" max="2562" width="6.25" style="3377" customWidth="1"/>
    <col min="2563" max="2563" width="11.75" style="3377" customWidth="1"/>
    <col min="2564" max="2564" width="7.875" style="3377" customWidth="1"/>
    <col min="2565" max="2565" width="10.875" style="3377" customWidth="1"/>
    <col min="2566" max="2566" width="42.25" style="3377" customWidth="1"/>
    <col min="2567" max="2568" width="13.875" style="3377" customWidth="1"/>
    <col min="2569" max="2569" width="31" style="3377" customWidth="1"/>
    <col min="2570" max="2570" width="7.875" style="3377" customWidth="1"/>
    <col min="2571" max="2571" width="9" style="3377" customWidth="1"/>
    <col min="2572" max="2572" width="26.125" style="3377" customWidth="1"/>
    <col min="2573" max="2573" width="10.625" style="3377" customWidth="1"/>
    <col min="2574" max="2574" width="16" style="3377" customWidth="1"/>
    <col min="2575" max="2575" width="14.375" style="3377" customWidth="1"/>
    <col min="2576" max="2576" width="6.25" style="3377" customWidth="1"/>
    <col min="2577" max="2577" width="8" style="3377" customWidth="1"/>
    <col min="2578" max="2578" width="16.875" style="3377" customWidth="1"/>
    <col min="2579" max="2579" width="7.875" style="3377" customWidth="1"/>
    <col min="2580" max="2816" width="9" style="3377"/>
    <col min="2817" max="2817" width="50.875" style="3377" customWidth="1"/>
    <col min="2818" max="2818" width="6.25" style="3377" customWidth="1"/>
    <col min="2819" max="2819" width="11.75" style="3377" customWidth="1"/>
    <col min="2820" max="2820" width="7.875" style="3377" customWidth="1"/>
    <col min="2821" max="2821" width="10.875" style="3377" customWidth="1"/>
    <col min="2822" max="2822" width="42.25" style="3377" customWidth="1"/>
    <col min="2823" max="2824" width="13.875" style="3377" customWidth="1"/>
    <col min="2825" max="2825" width="31" style="3377" customWidth="1"/>
    <col min="2826" max="2826" width="7.875" style="3377" customWidth="1"/>
    <col min="2827" max="2827" width="9" style="3377" customWidth="1"/>
    <col min="2828" max="2828" width="26.125" style="3377" customWidth="1"/>
    <col min="2829" max="2829" width="10.625" style="3377" customWidth="1"/>
    <col min="2830" max="2830" width="16" style="3377" customWidth="1"/>
    <col min="2831" max="2831" width="14.375" style="3377" customWidth="1"/>
    <col min="2832" max="2832" width="6.25" style="3377" customWidth="1"/>
    <col min="2833" max="2833" width="8" style="3377" customWidth="1"/>
    <col min="2834" max="2834" width="16.875" style="3377" customWidth="1"/>
    <col min="2835" max="2835" width="7.875" style="3377" customWidth="1"/>
    <col min="2836" max="3072" width="9" style="3377"/>
    <col min="3073" max="3073" width="50.875" style="3377" customWidth="1"/>
    <col min="3074" max="3074" width="6.25" style="3377" customWidth="1"/>
    <col min="3075" max="3075" width="11.75" style="3377" customWidth="1"/>
    <col min="3076" max="3076" width="7.875" style="3377" customWidth="1"/>
    <col min="3077" max="3077" width="10.875" style="3377" customWidth="1"/>
    <col min="3078" max="3078" width="42.25" style="3377" customWidth="1"/>
    <col min="3079" max="3080" width="13.875" style="3377" customWidth="1"/>
    <col min="3081" max="3081" width="31" style="3377" customWidth="1"/>
    <col min="3082" max="3082" width="7.875" style="3377" customWidth="1"/>
    <col min="3083" max="3083" width="9" style="3377" customWidth="1"/>
    <col min="3084" max="3084" width="26.125" style="3377" customWidth="1"/>
    <col min="3085" max="3085" width="10.625" style="3377" customWidth="1"/>
    <col min="3086" max="3086" width="16" style="3377" customWidth="1"/>
    <col min="3087" max="3087" width="14.375" style="3377" customWidth="1"/>
    <col min="3088" max="3088" width="6.25" style="3377" customWidth="1"/>
    <col min="3089" max="3089" width="8" style="3377" customWidth="1"/>
    <col min="3090" max="3090" width="16.875" style="3377" customWidth="1"/>
    <col min="3091" max="3091" width="7.875" style="3377" customWidth="1"/>
    <col min="3092" max="3328" width="9" style="3377"/>
    <col min="3329" max="3329" width="50.875" style="3377" customWidth="1"/>
    <col min="3330" max="3330" width="6.25" style="3377" customWidth="1"/>
    <col min="3331" max="3331" width="11.75" style="3377" customWidth="1"/>
    <col min="3332" max="3332" width="7.875" style="3377" customWidth="1"/>
    <col min="3333" max="3333" width="10.875" style="3377" customWidth="1"/>
    <col min="3334" max="3334" width="42.25" style="3377" customWidth="1"/>
    <col min="3335" max="3336" width="13.875" style="3377" customWidth="1"/>
    <col min="3337" max="3337" width="31" style="3377" customWidth="1"/>
    <col min="3338" max="3338" width="7.875" style="3377" customWidth="1"/>
    <col min="3339" max="3339" width="9" style="3377" customWidth="1"/>
    <col min="3340" max="3340" width="26.125" style="3377" customWidth="1"/>
    <col min="3341" max="3341" width="10.625" style="3377" customWidth="1"/>
    <col min="3342" max="3342" width="16" style="3377" customWidth="1"/>
    <col min="3343" max="3343" width="14.375" style="3377" customWidth="1"/>
    <col min="3344" max="3344" width="6.25" style="3377" customWidth="1"/>
    <col min="3345" max="3345" width="8" style="3377" customWidth="1"/>
    <col min="3346" max="3346" width="16.875" style="3377" customWidth="1"/>
    <col min="3347" max="3347" width="7.875" style="3377" customWidth="1"/>
    <col min="3348" max="3584" width="9" style="3377"/>
    <col min="3585" max="3585" width="50.875" style="3377" customWidth="1"/>
    <col min="3586" max="3586" width="6.25" style="3377" customWidth="1"/>
    <col min="3587" max="3587" width="11.75" style="3377" customWidth="1"/>
    <col min="3588" max="3588" width="7.875" style="3377" customWidth="1"/>
    <col min="3589" max="3589" width="10.875" style="3377" customWidth="1"/>
    <col min="3590" max="3590" width="42.25" style="3377" customWidth="1"/>
    <col min="3591" max="3592" width="13.875" style="3377" customWidth="1"/>
    <col min="3593" max="3593" width="31" style="3377" customWidth="1"/>
    <col min="3594" max="3594" width="7.875" style="3377" customWidth="1"/>
    <col min="3595" max="3595" width="9" style="3377" customWidth="1"/>
    <col min="3596" max="3596" width="26.125" style="3377" customWidth="1"/>
    <col min="3597" max="3597" width="10.625" style="3377" customWidth="1"/>
    <col min="3598" max="3598" width="16" style="3377" customWidth="1"/>
    <col min="3599" max="3599" width="14.375" style="3377" customWidth="1"/>
    <col min="3600" max="3600" width="6.25" style="3377" customWidth="1"/>
    <col min="3601" max="3601" width="8" style="3377" customWidth="1"/>
    <col min="3602" max="3602" width="16.875" style="3377" customWidth="1"/>
    <col min="3603" max="3603" width="7.875" style="3377" customWidth="1"/>
    <col min="3604" max="3840" width="9" style="3377"/>
    <col min="3841" max="3841" width="50.875" style="3377" customWidth="1"/>
    <col min="3842" max="3842" width="6.25" style="3377" customWidth="1"/>
    <col min="3843" max="3843" width="11.75" style="3377" customWidth="1"/>
    <col min="3844" max="3844" width="7.875" style="3377" customWidth="1"/>
    <col min="3845" max="3845" width="10.875" style="3377" customWidth="1"/>
    <col min="3846" max="3846" width="42.25" style="3377" customWidth="1"/>
    <col min="3847" max="3848" width="13.875" style="3377" customWidth="1"/>
    <col min="3849" max="3849" width="31" style="3377" customWidth="1"/>
    <col min="3850" max="3850" width="7.875" style="3377" customWidth="1"/>
    <col min="3851" max="3851" width="9" style="3377" customWidth="1"/>
    <col min="3852" max="3852" width="26.125" style="3377" customWidth="1"/>
    <col min="3853" max="3853" width="10.625" style="3377" customWidth="1"/>
    <col min="3854" max="3854" width="16" style="3377" customWidth="1"/>
    <col min="3855" max="3855" width="14.375" style="3377" customWidth="1"/>
    <col min="3856" max="3856" width="6.25" style="3377" customWidth="1"/>
    <col min="3857" max="3857" width="8" style="3377" customWidth="1"/>
    <col min="3858" max="3858" width="16.875" style="3377" customWidth="1"/>
    <col min="3859" max="3859" width="7.875" style="3377" customWidth="1"/>
    <col min="3860" max="4096" width="9" style="3377"/>
    <col min="4097" max="4097" width="50.875" style="3377" customWidth="1"/>
    <col min="4098" max="4098" width="6.25" style="3377" customWidth="1"/>
    <col min="4099" max="4099" width="11.75" style="3377" customWidth="1"/>
    <col min="4100" max="4100" width="7.875" style="3377" customWidth="1"/>
    <col min="4101" max="4101" width="10.875" style="3377" customWidth="1"/>
    <col min="4102" max="4102" width="42.25" style="3377" customWidth="1"/>
    <col min="4103" max="4104" width="13.875" style="3377" customWidth="1"/>
    <col min="4105" max="4105" width="31" style="3377" customWidth="1"/>
    <col min="4106" max="4106" width="7.875" style="3377" customWidth="1"/>
    <col min="4107" max="4107" width="9" style="3377" customWidth="1"/>
    <col min="4108" max="4108" width="26.125" style="3377" customWidth="1"/>
    <col min="4109" max="4109" width="10.625" style="3377" customWidth="1"/>
    <col min="4110" max="4110" width="16" style="3377" customWidth="1"/>
    <col min="4111" max="4111" width="14.375" style="3377" customWidth="1"/>
    <col min="4112" max="4112" width="6.25" style="3377" customWidth="1"/>
    <col min="4113" max="4113" width="8" style="3377" customWidth="1"/>
    <col min="4114" max="4114" width="16.875" style="3377" customWidth="1"/>
    <col min="4115" max="4115" width="7.875" style="3377" customWidth="1"/>
    <col min="4116" max="4352" width="9" style="3377"/>
    <col min="4353" max="4353" width="50.875" style="3377" customWidth="1"/>
    <col min="4354" max="4354" width="6.25" style="3377" customWidth="1"/>
    <col min="4355" max="4355" width="11.75" style="3377" customWidth="1"/>
    <col min="4356" max="4356" width="7.875" style="3377" customWidth="1"/>
    <col min="4357" max="4357" width="10.875" style="3377" customWidth="1"/>
    <col min="4358" max="4358" width="42.25" style="3377" customWidth="1"/>
    <col min="4359" max="4360" width="13.875" style="3377" customWidth="1"/>
    <col min="4361" max="4361" width="31" style="3377" customWidth="1"/>
    <col min="4362" max="4362" width="7.875" style="3377" customWidth="1"/>
    <col min="4363" max="4363" width="9" style="3377" customWidth="1"/>
    <col min="4364" max="4364" width="26.125" style="3377" customWidth="1"/>
    <col min="4365" max="4365" width="10.625" style="3377" customWidth="1"/>
    <col min="4366" max="4366" width="16" style="3377" customWidth="1"/>
    <col min="4367" max="4367" width="14.375" style="3377" customWidth="1"/>
    <col min="4368" max="4368" width="6.25" style="3377" customWidth="1"/>
    <col min="4369" max="4369" width="8" style="3377" customWidth="1"/>
    <col min="4370" max="4370" width="16.875" style="3377" customWidth="1"/>
    <col min="4371" max="4371" width="7.875" style="3377" customWidth="1"/>
    <col min="4372" max="4608" width="9" style="3377"/>
    <col min="4609" max="4609" width="50.875" style="3377" customWidth="1"/>
    <col min="4610" max="4610" width="6.25" style="3377" customWidth="1"/>
    <col min="4611" max="4611" width="11.75" style="3377" customWidth="1"/>
    <col min="4612" max="4612" width="7.875" style="3377" customWidth="1"/>
    <col min="4613" max="4613" width="10.875" style="3377" customWidth="1"/>
    <col min="4614" max="4614" width="42.25" style="3377" customWidth="1"/>
    <col min="4615" max="4616" width="13.875" style="3377" customWidth="1"/>
    <col min="4617" max="4617" width="31" style="3377" customWidth="1"/>
    <col min="4618" max="4618" width="7.875" style="3377" customWidth="1"/>
    <col min="4619" max="4619" width="9" style="3377" customWidth="1"/>
    <col min="4620" max="4620" width="26.125" style="3377" customWidth="1"/>
    <col min="4621" max="4621" width="10.625" style="3377" customWidth="1"/>
    <col min="4622" max="4622" width="16" style="3377" customWidth="1"/>
    <col min="4623" max="4623" width="14.375" style="3377" customWidth="1"/>
    <col min="4624" max="4624" width="6.25" style="3377" customWidth="1"/>
    <col min="4625" max="4625" width="8" style="3377" customWidth="1"/>
    <col min="4626" max="4626" width="16.875" style="3377" customWidth="1"/>
    <col min="4627" max="4627" width="7.875" style="3377" customWidth="1"/>
    <col min="4628" max="4864" width="9" style="3377"/>
    <col min="4865" max="4865" width="50.875" style="3377" customWidth="1"/>
    <col min="4866" max="4866" width="6.25" style="3377" customWidth="1"/>
    <col min="4867" max="4867" width="11.75" style="3377" customWidth="1"/>
    <col min="4868" max="4868" width="7.875" style="3377" customWidth="1"/>
    <col min="4869" max="4869" width="10.875" style="3377" customWidth="1"/>
    <col min="4870" max="4870" width="42.25" style="3377" customWidth="1"/>
    <col min="4871" max="4872" width="13.875" style="3377" customWidth="1"/>
    <col min="4873" max="4873" width="31" style="3377" customWidth="1"/>
    <col min="4874" max="4874" width="7.875" style="3377" customWidth="1"/>
    <col min="4875" max="4875" width="9" style="3377" customWidth="1"/>
    <col min="4876" max="4876" width="26.125" style="3377" customWidth="1"/>
    <col min="4877" max="4877" width="10.625" style="3377" customWidth="1"/>
    <col min="4878" max="4878" width="16" style="3377" customWidth="1"/>
    <col min="4879" max="4879" width="14.375" style="3377" customWidth="1"/>
    <col min="4880" max="4880" width="6.25" style="3377" customWidth="1"/>
    <col min="4881" max="4881" width="8" style="3377" customWidth="1"/>
    <col min="4882" max="4882" width="16.875" style="3377" customWidth="1"/>
    <col min="4883" max="4883" width="7.875" style="3377" customWidth="1"/>
    <col min="4884" max="5120" width="9" style="3377"/>
    <col min="5121" max="5121" width="50.875" style="3377" customWidth="1"/>
    <col min="5122" max="5122" width="6.25" style="3377" customWidth="1"/>
    <col min="5123" max="5123" width="11.75" style="3377" customWidth="1"/>
    <col min="5124" max="5124" width="7.875" style="3377" customWidth="1"/>
    <col min="5125" max="5125" width="10.875" style="3377" customWidth="1"/>
    <col min="5126" max="5126" width="42.25" style="3377" customWidth="1"/>
    <col min="5127" max="5128" width="13.875" style="3377" customWidth="1"/>
    <col min="5129" max="5129" width="31" style="3377" customWidth="1"/>
    <col min="5130" max="5130" width="7.875" style="3377" customWidth="1"/>
    <col min="5131" max="5131" width="9" style="3377" customWidth="1"/>
    <col min="5132" max="5132" width="26.125" style="3377" customWidth="1"/>
    <col min="5133" max="5133" width="10.625" style="3377" customWidth="1"/>
    <col min="5134" max="5134" width="16" style="3377" customWidth="1"/>
    <col min="5135" max="5135" width="14.375" style="3377" customWidth="1"/>
    <col min="5136" max="5136" width="6.25" style="3377" customWidth="1"/>
    <col min="5137" max="5137" width="8" style="3377" customWidth="1"/>
    <col min="5138" max="5138" width="16.875" style="3377" customWidth="1"/>
    <col min="5139" max="5139" width="7.875" style="3377" customWidth="1"/>
    <col min="5140" max="5376" width="9" style="3377"/>
    <col min="5377" max="5377" width="50.875" style="3377" customWidth="1"/>
    <col min="5378" max="5378" width="6.25" style="3377" customWidth="1"/>
    <col min="5379" max="5379" width="11.75" style="3377" customWidth="1"/>
    <col min="5380" max="5380" width="7.875" style="3377" customWidth="1"/>
    <col min="5381" max="5381" width="10.875" style="3377" customWidth="1"/>
    <col min="5382" max="5382" width="42.25" style="3377" customWidth="1"/>
    <col min="5383" max="5384" width="13.875" style="3377" customWidth="1"/>
    <col min="5385" max="5385" width="31" style="3377" customWidth="1"/>
    <col min="5386" max="5386" width="7.875" style="3377" customWidth="1"/>
    <col min="5387" max="5387" width="9" style="3377" customWidth="1"/>
    <col min="5388" max="5388" width="26.125" style="3377" customWidth="1"/>
    <col min="5389" max="5389" width="10.625" style="3377" customWidth="1"/>
    <col min="5390" max="5390" width="16" style="3377" customWidth="1"/>
    <col min="5391" max="5391" width="14.375" style="3377" customWidth="1"/>
    <col min="5392" max="5392" width="6.25" style="3377" customWidth="1"/>
    <col min="5393" max="5393" width="8" style="3377" customWidth="1"/>
    <col min="5394" max="5394" width="16.875" style="3377" customWidth="1"/>
    <col min="5395" max="5395" width="7.875" style="3377" customWidth="1"/>
    <col min="5396" max="5632" width="9" style="3377"/>
    <col min="5633" max="5633" width="50.875" style="3377" customWidth="1"/>
    <col min="5634" max="5634" width="6.25" style="3377" customWidth="1"/>
    <col min="5635" max="5635" width="11.75" style="3377" customWidth="1"/>
    <col min="5636" max="5636" width="7.875" style="3377" customWidth="1"/>
    <col min="5637" max="5637" width="10.875" style="3377" customWidth="1"/>
    <col min="5638" max="5638" width="42.25" style="3377" customWidth="1"/>
    <col min="5639" max="5640" width="13.875" style="3377" customWidth="1"/>
    <col min="5641" max="5641" width="31" style="3377" customWidth="1"/>
    <col min="5642" max="5642" width="7.875" style="3377" customWidth="1"/>
    <col min="5643" max="5643" width="9" style="3377" customWidth="1"/>
    <col min="5644" max="5644" width="26.125" style="3377" customWidth="1"/>
    <col min="5645" max="5645" width="10.625" style="3377" customWidth="1"/>
    <col min="5646" max="5646" width="16" style="3377" customWidth="1"/>
    <col min="5647" max="5647" width="14.375" style="3377" customWidth="1"/>
    <col min="5648" max="5648" width="6.25" style="3377" customWidth="1"/>
    <col min="5649" max="5649" width="8" style="3377" customWidth="1"/>
    <col min="5650" max="5650" width="16.875" style="3377" customWidth="1"/>
    <col min="5651" max="5651" width="7.875" style="3377" customWidth="1"/>
    <col min="5652" max="5888" width="9" style="3377"/>
    <col min="5889" max="5889" width="50.875" style="3377" customWidth="1"/>
    <col min="5890" max="5890" width="6.25" style="3377" customWidth="1"/>
    <col min="5891" max="5891" width="11.75" style="3377" customWidth="1"/>
    <col min="5892" max="5892" width="7.875" style="3377" customWidth="1"/>
    <col min="5893" max="5893" width="10.875" style="3377" customWidth="1"/>
    <col min="5894" max="5894" width="42.25" style="3377" customWidth="1"/>
    <col min="5895" max="5896" width="13.875" style="3377" customWidth="1"/>
    <col min="5897" max="5897" width="31" style="3377" customWidth="1"/>
    <col min="5898" max="5898" width="7.875" style="3377" customWidth="1"/>
    <col min="5899" max="5899" width="9" style="3377" customWidth="1"/>
    <col min="5900" max="5900" width="26.125" style="3377" customWidth="1"/>
    <col min="5901" max="5901" width="10.625" style="3377" customWidth="1"/>
    <col min="5902" max="5902" width="16" style="3377" customWidth="1"/>
    <col min="5903" max="5903" width="14.375" style="3377" customWidth="1"/>
    <col min="5904" max="5904" width="6.25" style="3377" customWidth="1"/>
    <col min="5905" max="5905" width="8" style="3377" customWidth="1"/>
    <col min="5906" max="5906" width="16.875" style="3377" customWidth="1"/>
    <col min="5907" max="5907" width="7.875" style="3377" customWidth="1"/>
    <col min="5908" max="6144" width="9" style="3377"/>
    <col min="6145" max="6145" width="50.875" style="3377" customWidth="1"/>
    <col min="6146" max="6146" width="6.25" style="3377" customWidth="1"/>
    <col min="6147" max="6147" width="11.75" style="3377" customWidth="1"/>
    <col min="6148" max="6148" width="7.875" style="3377" customWidth="1"/>
    <col min="6149" max="6149" width="10.875" style="3377" customWidth="1"/>
    <col min="6150" max="6150" width="42.25" style="3377" customWidth="1"/>
    <col min="6151" max="6152" width="13.875" style="3377" customWidth="1"/>
    <col min="6153" max="6153" width="31" style="3377" customWidth="1"/>
    <col min="6154" max="6154" width="7.875" style="3377" customWidth="1"/>
    <col min="6155" max="6155" width="9" style="3377" customWidth="1"/>
    <col min="6156" max="6156" width="26.125" style="3377" customWidth="1"/>
    <col min="6157" max="6157" width="10.625" style="3377" customWidth="1"/>
    <col min="6158" max="6158" width="16" style="3377" customWidth="1"/>
    <col min="6159" max="6159" width="14.375" style="3377" customWidth="1"/>
    <col min="6160" max="6160" width="6.25" style="3377" customWidth="1"/>
    <col min="6161" max="6161" width="8" style="3377" customWidth="1"/>
    <col min="6162" max="6162" width="16.875" style="3377" customWidth="1"/>
    <col min="6163" max="6163" width="7.875" style="3377" customWidth="1"/>
    <col min="6164" max="6400" width="9" style="3377"/>
    <col min="6401" max="6401" width="50.875" style="3377" customWidth="1"/>
    <col min="6402" max="6402" width="6.25" style="3377" customWidth="1"/>
    <col min="6403" max="6403" width="11.75" style="3377" customWidth="1"/>
    <col min="6404" max="6404" width="7.875" style="3377" customWidth="1"/>
    <col min="6405" max="6405" width="10.875" style="3377" customWidth="1"/>
    <col min="6406" max="6406" width="42.25" style="3377" customWidth="1"/>
    <col min="6407" max="6408" width="13.875" style="3377" customWidth="1"/>
    <col min="6409" max="6409" width="31" style="3377" customWidth="1"/>
    <col min="6410" max="6410" width="7.875" style="3377" customWidth="1"/>
    <col min="6411" max="6411" width="9" style="3377" customWidth="1"/>
    <col min="6412" max="6412" width="26.125" style="3377" customWidth="1"/>
    <col min="6413" max="6413" width="10.625" style="3377" customWidth="1"/>
    <col min="6414" max="6414" width="16" style="3377" customWidth="1"/>
    <col min="6415" max="6415" width="14.375" style="3377" customWidth="1"/>
    <col min="6416" max="6416" width="6.25" style="3377" customWidth="1"/>
    <col min="6417" max="6417" width="8" style="3377" customWidth="1"/>
    <col min="6418" max="6418" width="16.875" style="3377" customWidth="1"/>
    <col min="6419" max="6419" width="7.875" style="3377" customWidth="1"/>
    <col min="6420" max="6656" width="9" style="3377"/>
    <col min="6657" max="6657" width="50.875" style="3377" customWidth="1"/>
    <col min="6658" max="6658" width="6.25" style="3377" customWidth="1"/>
    <col min="6659" max="6659" width="11.75" style="3377" customWidth="1"/>
    <col min="6660" max="6660" width="7.875" style="3377" customWidth="1"/>
    <col min="6661" max="6661" width="10.875" style="3377" customWidth="1"/>
    <col min="6662" max="6662" width="42.25" style="3377" customWidth="1"/>
    <col min="6663" max="6664" width="13.875" style="3377" customWidth="1"/>
    <col min="6665" max="6665" width="31" style="3377" customWidth="1"/>
    <col min="6666" max="6666" width="7.875" style="3377" customWidth="1"/>
    <col min="6667" max="6667" width="9" style="3377" customWidth="1"/>
    <col min="6668" max="6668" width="26.125" style="3377" customWidth="1"/>
    <col min="6669" max="6669" width="10.625" style="3377" customWidth="1"/>
    <col min="6670" max="6670" width="16" style="3377" customWidth="1"/>
    <col min="6671" max="6671" width="14.375" style="3377" customWidth="1"/>
    <col min="6672" max="6672" width="6.25" style="3377" customWidth="1"/>
    <col min="6673" max="6673" width="8" style="3377" customWidth="1"/>
    <col min="6674" max="6674" width="16.875" style="3377" customWidth="1"/>
    <col min="6675" max="6675" width="7.875" style="3377" customWidth="1"/>
    <col min="6676" max="6912" width="9" style="3377"/>
    <col min="6913" max="6913" width="50.875" style="3377" customWidth="1"/>
    <col min="6914" max="6914" width="6.25" style="3377" customWidth="1"/>
    <col min="6915" max="6915" width="11.75" style="3377" customWidth="1"/>
    <col min="6916" max="6916" width="7.875" style="3377" customWidth="1"/>
    <col min="6917" max="6917" width="10.875" style="3377" customWidth="1"/>
    <col min="6918" max="6918" width="42.25" style="3377" customWidth="1"/>
    <col min="6919" max="6920" width="13.875" style="3377" customWidth="1"/>
    <col min="6921" max="6921" width="31" style="3377" customWidth="1"/>
    <col min="6922" max="6922" width="7.875" style="3377" customWidth="1"/>
    <col min="6923" max="6923" width="9" style="3377" customWidth="1"/>
    <col min="6924" max="6924" width="26.125" style="3377" customWidth="1"/>
    <col min="6925" max="6925" width="10.625" style="3377" customWidth="1"/>
    <col min="6926" max="6926" width="16" style="3377" customWidth="1"/>
    <col min="6927" max="6927" width="14.375" style="3377" customWidth="1"/>
    <col min="6928" max="6928" width="6.25" style="3377" customWidth="1"/>
    <col min="6929" max="6929" width="8" style="3377" customWidth="1"/>
    <col min="6930" max="6930" width="16.875" style="3377" customWidth="1"/>
    <col min="6931" max="6931" width="7.875" style="3377" customWidth="1"/>
    <col min="6932" max="7168" width="9" style="3377"/>
    <col min="7169" max="7169" width="50.875" style="3377" customWidth="1"/>
    <col min="7170" max="7170" width="6.25" style="3377" customWidth="1"/>
    <col min="7171" max="7171" width="11.75" style="3377" customWidth="1"/>
    <col min="7172" max="7172" width="7.875" style="3377" customWidth="1"/>
    <col min="7173" max="7173" width="10.875" style="3377" customWidth="1"/>
    <col min="7174" max="7174" width="42.25" style="3377" customWidth="1"/>
    <col min="7175" max="7176" width="13.875" style="3377" customWidth="1"/>
    <col min="7177" max="7177" width="31" style="3377" customWidth="1"/>
    <col min="7178" max="7178" width="7.875" style="3377" customWidth="1"/>
    <col min="7179" max="7179" width="9" style="3377" customWidth="1"/>
    <col min="7180" max="7180" width="26.125" style="3377" customWidth="1"/>
    <col min="7181" max="7181" width="10.625" style="3377" customWidth="1"/>
    <col min="7182" max="7182" width="16" style="3377" customWidth="1"/>
    <col min="7183" max="7183" width="14.375" style="3377" customWidth="1"/>
    <col min="7184" max="7184" width="6.25" style="3377" customWidth="1"/>
    <col min="7185" max="7185" width="8" style="3377" customWidth="1"/>
    <col min="7186" max="7186" width="16.875" style="3377" customWidth="1"/>
    <col min="7187" max="7187" width="7.875" style="3377" customWidth="1"/>
    <col min="7188" max="7424" width="9" style="3377"/>
    <col min="7425" max="7425" width="50.875" style="3377" customWidth="1"/>
    <col min="7426" max="7426" width="6.25" style="3377" customWidth="1"/>
    <col min="7427" max="7427" width="11.75" style="3377" customWidth="1"/>
    <col min="7428" max="7428" width="7.875" style="3377" customWidth="1"/>
    <col min="7429" max="7429" width="10.875" style="3377" customWidth="1"/>
    <col min="7430" max="7430" width="42.25" style="3377" customWidth="1"/>
    <col min="7431" max="7432" width="13.875" style="3377" customWidth="1"/>
    <col min="7433" max="7433" width="31" style="3377" customWidth="1"/>
    <col min="7434" max="7434" width="7.875" style="3377" customWidth="1"/>
    <col min="7435" max="7435" width="9" style="3377" customWidth="1"/>
    <col min="7436" max="7436" width="26.125" style="3377" customWidth="1"/>
    <col min="7437" max="7437" width="10.625" style="3377" customWidth="1"/>
    <col min="7438" max="7438" width="16" style="3377" customWidth="1"/>
    <col min="7439" max="7439" width="14.375" style="3377" customWidth="1"/>
    <col min="7440" max="7440" width="6.25" style="3377" customWidth="1"/>
    <col min="7441" max="7441" width="8" style="3377" customWidth="1"/>
    <col min="7442" max="7442" width="16.875" style="3377" customWidth="1"/>
    <col min="7443" max="7443" width="7.875" style="3377" customWidth="1"/>
    <col min="7444" max="7680" width="9" style="3377"/>
    <col min="7681" max="7681" width="50.875" style="3377" customWidth="1"/>
    <col min="7682" max="7682" width="6.25" style="3377" customWidth="1"/>
    <col min="7683" max="7683" width="11.75" style="3377" customWidth="1"/>
    <col min="7684" max="7684" width="7.875" style="3377" customWidth="1"/>
    <col min="7685" max="7685" width="10.875" style="3377" customWidth="1"/>
    <col min="7686" max="7686" width="42.25" style="3377" customWidth="1"/>
    <col min="7687" max="7688" width="13.875" style="3377" customWidth="1"/>
    <col min="7689" max="7689" width="31" style="3377" customWidth="1"/>
    <col min="7690" max="7690" width="7.875" style="3377" customWidth="1"/>
    <col min="7691" max="7691" width="9" style="3377" customWidth="1"/>
    <col min="7692" max="7692" width="26.125" style="3377" customWidth="1"/>
    <col min="7693" max="7693" width="10.625" style="3377" customWidth="1"/>
    <col min="7694" max="7694" width="16" style="3377" customWidth="1"/>
    <col min="7695" max="7695" width="14.375" style="3377" customWidth="1"/>
    <col min="7696" max="7696" width="6.25" style="3377" customWidth="1"/>
    <col min="7697" max="7697" width="8" style="3377" customWidth="1"/>
    <col min="7698" max="7698" width="16.875" style="3377" customWidth="1"/>
    <col min="7699" max="7699" width="7.875" style="3377" customWidth="1"/>
    <col min="7700" max="7936" width="9" style="3377"/>
    <col min="7937" max="7937" width="50.875" style="3377" customWidth="1"/>
    <col min="7938" max="7938" width="6.25" style="3377" customWidth="1"/>
    <col min="7939" max="7939" width="11.75" style="3377" customWidth="1"/>
    <col min="7940" max="7940" width="7.875" style="3377" customWidth="1"/>
    <col min="7941" max="7941" width="10.875" style="3377" customWidth="1"/>
    <col min="7942" max="7942" width="42.25" style="3377" customWidth="1"/>
    <col min="7943" max="7944" width="13.875" style="3377" customWidth="1"/>
    <col min="7945" max="7945" width="31" style="3377" customWidth="1"/>
    <col min="7946" max="7946" width="7.875" style="3377" customWidth="1"/>
    <col min="7947" max="7947" width="9" style="3377" customWidth="1"/>
    <col min="7948" max="7948" width="26.125" style="3377" customWidth="1"/>
    <col min="7949" max="7949" width="10.625" style="3377" customWidth="1"/>
    <col min="7950" max="7950" width="16" style="3377" customWidth="1"/>
    <col min="7951" max="7951" width="14.375" style="3377" customWidth="1"/>
    <col min="7952" max="7952" width="6.25" style="3377" customWidth="1"/>
    <col min="7953" max="7953" width="8" style="3377" customWidth="1"/>
    <col min="7954" max="7954" width="16.875" style="3377" customWidth="1"/>
    <col min="7955" max="7955" width="7.875" style="3377" customWidth="1"/>
    <col min="7956" max="8192" width="9" style="3377"/>
    <col min="8193" max="8193" width="50.875" style="3377" customWidth="1"/>
    <col min="8194" max="8194" width="6.25" style="3377" customWidth="1"/>
    <col min="8195" max="8195" width="11.75" style="3377" customWidth="1"/>
    <col min="8196" max="8196" width="7.875" style="3377" customWidth="1"/>
    <col min="8197" max="8197" width="10.875" style="3377" customWidth="1"/>
    <col min="8198" max="8198" width="42.25" style="3377" customWidth="1"/>
    <col min="8199" max="8200" width="13.875" style="3377" customWidth="1"/>
    <col min="8201" max="8201" width="31" style="3377" customWidth="1"/>
    <col min="8202" max="8202" width="7.875" style="3377" customWidth="1"/>
    <col min="8203" max="8203" width="9" style="3377" customWidth="1"/>
    <col min="8204" max="8204" width="26.125" style="3377" customWidth="1"/>
    <col min="8205" max="8205" width="10.625" style="3377" customWidth="1"/>
    <col min="8206" max="8206" width="16" style="3377" customWidth="1"/>
    <col min="8207" max="8207" width="14.375" style="3377" customWidth="1"/>
    <col min="8208" max="8208" width="6.25" style="3377" customWidth="1"/>
    <col min="8209" max="8209" width="8" style="3377" customWidth="1"/>
    <col min="8210" max="8210" width="16.875" style="3377" customWidth="1"/>
    <col min="8211" max="8211" width="7.875" style="3377" customWidth="1"/>
    <col min="8212" max="8448" width="9" style="3377"/>
    <col min="8449" max="8449" width="50.875" style="3377" customWidth="1"/>
    <col min="8450" max="8450" width="6.25" style="3377" customWidth="1"/>
    <col min="8451" max="8451" width="11.75" style="3377" customWidth="1"/>
    <col min="8452" max="8452" width="7.875" style="3377" customWidth="1"/>
    <col min="8453" max="8453" width="10.875" style="3377" customWidth="1"/>
    <col min="8454" max="8454" width="42.25" style="3377" customWidth="1"/>
    <col min="8455" max="8456" width="13.875" style="3377" customWidth="1"/>
    <col min="8457" max="8457" width="31" style="3377" customWidth="1"/>
    <col min="8458" max="8458" width="7.875" style="3377" customWidth="1"/>
    <col min="8459" max="8459" width="9" style="3377" customWidth="1"/>
    <col min="8460" max="8460" width="26.125" style="3377" customWidth="1"/>
    <col min="8461" max="8461" width="10.625" style="3377" customWidth="1"/>
    <col min="8462" max="8462" width="16" style="3377" customWidth="1"/>
    <col min="8463" max="8463" width="14.375" style="3377" customWidth="1"/>
    <col min="8464" max="8464" width="6.25" style="3377" customWidth="1"/>
    <col min="8465" max="8465" width="8" style="3377" customWidth="1"/>
    <col min="8466" max="8466" width="16.875" style="3377" customWidth="1"/>
    <col min="8467" max="8467" width="7.875" style="3377" customWidth="1"/>
    <col min="8468" max="8704" width="9" style="3377"/>
    <col min="8705" max="8705" width="50.875" style="3377" customWidth="1"/>
    <col min="8706" max="8706" width="6.25" style="3377" customWidth="1"/>
    <col min="8707" max="8707" width="11.75" style="3377" customWidth="1"/>
    <col min="8708" max="8708" width="7.875" style="3377" customWidth="1"/>
    <col min="8709" max="8709" width="10.875" style="3377" customWidth="1"/>
    <col min="8710" max="8710" width="42.25" style="3377" customWidth="1"/>
    <col min="8711" max="8712" width="13.875" style="3377" customWidth="1"/>
    <col min="8713" max="8713" width="31" style="3377" customWidth="1"/>
    <col min="8714" max="8714" width="7.875" style="3377" customWidth="1"/>
    <col min="8715" max="8715" width="9" style="3377" customWidth="1"/>
    <col min="8716" max="8716" width="26.125" style="3377" customWidth="1"/>
    <col min="8717" max="8717" width="10.625" style="3377" customWidth="1"/>
    <col min="8718" max="8718" width="16" style="3377" customWidth="1"/>
    <col min="8719" max="8719" width="14.375" style="3377" customWidth="1"/>
    <col min="8720" max="8720" width="6.25" style="3377" customWidth="1"/>
    <col min="8721" max="8721" width="8" style="3377" customWidth="1"/>
    <col min="8722" max="8722" width="16.875" style="3377" customWidth="1"/>
    <col min="8723" max="8723" width="7.875" style="3377" customWidth="1"/>
    <col min="8724" max="8960" width="9" style="3377"/>
    <col min="8961" max="8961" width="50.875" style="3377" customWidth="1"/>
    <col min="8962" max="8962" width="6.25" style="3377" customWidth="1"/>
    <col min="8963" max="8963" width="11.75" style="3377" customWidth="1"/>
    <col min="8964" max="8964" width="7.875" style="3377" customWidth="1"/>
    <col min="8965" max="8965" width="10.875" style="3377" customWidth="1"/>
    <col min="8966" max="8966" width="42.25" style="3377" customWidth="1"/>
    <col min="8967" max="8968" width="13.875" style="3377" customWidth="1"/>
    <col min="8969" max="8969" width="31" style="3377" customWidth="1"/>
    <col min="8970" max="8970" width="7.875" style="3377" customWidth="1"/>
    <col min="8971" max="8971" width="9" style="3377" customWidth="1"/>
    <col min="8972" max="8972" width="26.125" style="3377" customWidth="1"/>
    <col min="8973" max="8973" width="10.625" style="3377" customWidth="1"/>
    <col min="8974" max="8974" width="16" style="3377" customWidth="1"/>
    <col min="8975" max="8975" width="14.375" style="3377" customWidth="1"/>
    <col min="8976" max="8976" width="6.25" style="3377" customWidth="1"/>
    <col min="8977" max="8977" width="8" style="3377" customWidth="1"/>
    <col min="8978" max="8978" width="16.875" style="3377" customWidth="1"/>
    <col min="8979" max="8979" width="7.875" style="3377" customWidth="1"/>
    <col min="8980" max="9216" width="9" style="3377"/>
    <col min="9217" max="9217" width="50.875" style="3377" customWidth="1"/>
    <col min="9218" max="9218" width="6.25" style="3377" customWidth="1"/>
    <col min="9219" max="9219" width="11.75" style="3377" customWidth="1"/>
    <col min="9220" max="9220" width="7.875" style="3377" customWidth="1"/>
    <col min="9221" max="9221" width="10.875" style="3377" customWidth="1"/>
    <col min="9222" max="9222" width="42.25" style="3377" customWidth="1"/>
    <col min="9223" max="9224" width="13.875" style="3377" customWidth="1"/>
    <col min="9225" max="9225" width="31" style="3377" customWidth="1"/>
    <col min="9226" max="9226" width="7.875" style="3377" customWidth="1"/>
    <col min="9227" max="9227" width="9" style="3377" customWidth="1"/>
    <col min="9228" max="9228" width="26.125" style="3377" customWidth="1"/>
    <col min="9229" max="9229" width="10.625" style="3377" customWidth="1"/>
    <col min="9230" max="9230" width="16" style="3377" customWidth="1"/>
    <col min="9231" max="9231" width="14.375" style="3377" customWidth="1"/>
    <col min="9232" max="9232" width="6.25" style="3377" customWidth="1"/>
    <col min="9233" max="9233" width="8" style="3377" customWidth="1"/>
    <col min="9234" max="9234" width="16.875" style="3377" customWidth="1"/>
    <col min="9235" max="9235" width="7.875" style="3377" customWidth="1"/>
    <col min="9236" max="9472" width="9" style="3377"/>
    <col min="9473" max="9473" width="50.875" style="3377" customWidth="1"/>
    <col min="9474" max="9474" width="6.25" style="3377" customWidth="1"/>
    <col min="9475" max="9475" width="11.75" style="3377" customWidth="1"/>
    <col min="9476" max="9476" width="7.875" style="3377" customWidth="1"/>
    <col min="9477" max="9477" width="10.875" style="3377" customWidth="1"/>
    <col min="9478" max="9478" width="42.25" style="3377" customWidth="1"/>
    <col min="9479" max="9480" width="13.875" style="3377" customWidth="1"/>
    <col min="9481" max="9481" width="31" style="3377" customWidth="1"/>
    <col min="9482" max="9482" width="7.875" style="3377" customWidth="1"/>
    <col min="9483" max="9483" width="9" style="3377" customWidth="1"/>
    <col min="9484" max="9484" width="26.125" style="3377" customWidth="1"/>
    <col min="9485" max="9485" width="10.625" style="3377" customWidth="1"/>
    <col min="9486" max="9486" width="16" style="3377" customWidth="1"/>
    <col min="9487" max="9487" width="14.375" style="3377" customWidth="1"/>
    <col min="9488" max="9488" width="6.25" style="3377" customWidth="1"/>
    <col min="9489" max="9489" width="8" style="3377" customWidth="1"/>
    <col min="9490" max="9490" width="16.875" style="3377" customWidth="1"/>
    <col min="9491" max="9491" width="7.875" style="3377" customWidth="1"/>
    <col min="9492" max="9728" width="9" style="3377"/>
    <col min="9729" max="9729" width="50.875" style="3377" customWidth="1"/>
    <col min="9730" max="9730" width="6.25" style="3377" customWidth="1"/>
    <col min="9731" max="9731" width="11.75" style="3377" customWidth="1"/>
    <col min="9732" max="9732" width="7.875" style="3377" customWidth="1"/>
    <col min="9733" max="9733" width="10.875" style="3377" customWidth="1"/>
    <col min="9734" max="9734" width="42.25" style="3377" customWidth="1"/>
    <col min="9735" max="9736" width="13.875" style="3377" customWidth="1"/>
    <col min="9737" max="9737" width="31" style="3377" customWidth="1"/>
    <col min="9738" max="9738" width="7.875" style="3377" customWidth="1"/>
    <col min="9739" max="9739" width="9" style="3377" customWidth="1"/>
    <col min="9740" max="9740" width="26.125" style="3377" customWidth="1"/>
    <col min="9741" max="9741" width="10.625" style="3377" customWidth="1"/>
    <col min="9742" max="9742" width="16" style="3377" customWidth="1"/>
    <col min="9743" max="9743" width="14.375" style="3377" customWidth="1"/>
    <col min="9744" max="9744" width="6.25" style="3377" customWidth="1"/>
    <col min="9745" max="9745" width="8" style="3377" customWidth="1"/>
    <col min="9746" max="9746" width="16.875" style="3377" customWidth="1"/>
    <col min="9747" max="9747" width="7.875" style="3377" customWidth="1"/>
    <col min="9748" max="9984" width="9" style="3377"/>
    <col min="9985" max="9985" width="50.875" style="3377" customWidth="1"/>
    <col min="9986" max="9986" width="6.25" style="3377" customWidth="1"/>
    <col min="9987" max="9987" width="11.75" style="3377" customWidth="1"/>
    <col min="9988" max="9988" width="7.875" style="3377" customWidth="1"/>
    <col min="9989" max="9989" width="10.875" style="3377" customWidth="1"/>
    <col min="9990" max="9990" width="42.25" style="3377" customWidth="1"/>
    <col min="9991" max="9992" width="13.875" style="3377" customWidth="1"/>
    <col min="9993" max="9993" width="31" style="3377" customWidth="1"/>
    <col min="9994" max="9994" width="7.875" style="3377" customWidth="1"/>
    <col min="9995" max="9995" width="9" style="3377" customWidth="1"/>
    <col min="9996" max="9996" width="26.125" style="3377" customWidth="1"/>
    <col min="9997" max="9997" width="10.625" style="3377" customWidth="1"/>
    <col min="9998" max="9998" width="16" style="3377" customWidth="1"/>
    <col min="9999" max="9999" width="14.375" style="3377" customWidth="1"/>
    <col min="10000" max="10000" width="6.25" style="3377" customWidth="1"/>
    <col min="10001" max="10001" width="8" style="3377" customWidth="1"/>
    <col min="10002" max="10002" width="16.875" style="3377" customWidth="1"/>
    <col min="10003" max="10003" width="7.875" style="3377" customWidth="1"/>
    <col min="10004" max="10240" width="9" style="3377"/>
    <col min="10241" max="10241" width="50.875" style="3377" customWidth="1"/>
    <col min="10242" max="10242" width="6.25" style="3377" customWidth="1"/>
    <col min="10243" max="10243" width="11.75" style="3377" customWidth="1"/>
    <col min="10244" max="10244" width="7.875" style="3377" customWidth="1"/>
    <col min="10245" max="10245" width="10.875" style="3377" customWidth="1"/>
    <col min="10246" max="10246" width="42.25" style="3377" customWidth="1"/>
    <col min="10247" max="10248" width="13.875" style="3377" customWidth="1"/>
    <col min="10249" max="10249" width="31" style="3377" customWidth="1"/>
    <col min="10250" max="10250" width="7.875" style="3377" customWidth="1"/>
    <col min="10251" max="10251" width="9" style="3377" customWidth="1"/>
    <col min="10252" max="10252" width="26.125" style="3377" customWidth="1"/>
    <col min="10253" max="10253" width="10.625" style="3377" customWidth="1"/>
    <col min="10254" max="10254" width="16" style="3377" customWidth="1"/>
    <col min="10255" max="10255" width="14.375" style="3377" customWidth="1"/>
    <col min="10256" max="10256" width="6.25" style="3377" customWidth="1"/>
    <col min="10257" max="10257" width="8" style="3377" customWidth="1"/>
    <col min="10258" max="10258" width="16.875" style="3377" customWidth="1"/>
    <col min="10259" max="10259" width="7.875" style="3377" customWidth="1"/>
    <col min="10260" max="10496" width="9" style="3377"/>
    <col min="10497" max="10497" width="50.875" style="3377" customWidth="1"/>
    <col min="10498" max="10498" width="6.25" style="3377" customWidth="1"/>
    <col min="10499" max="10499" width="11.75" style="3377" customWidth="1"/>
    <col min="10500" max="10500" width="7.875" style="3377" customWidth="1"/>
    <col min="10501" max="10501" width="10.875" style="3377" customWidth="1"/>
    <col min="10502" max="10502" width="42.25" style="3377" customWidth="1"/>
    <col min="10503" max="10504" width="13.875" style="3377" customWidth="1"/>
    <col min="10505" max="10505" width="31" style="3377" customWidth="1"/>
    <col min="10506" max="10506" width="7.875" style="3377" customWidth="1"/>
    <col min="10507" max="10507" width="9" style="3377" customWidth="1"/>
    <col min="10508" max="10508" width="26.125" style="3377" customWidth="1"/>
    <col min="10509" max="10509" width="10.625" style="3377" customWidth="1"/>
    <col min="10510" max="10510" width="16" style="3377" customWidth="1"/>
    <col min="10511" max="10511" width="14.375" style="3377" customWidth="1"/>
    <col min="10512" max="10512" width="6.25" style="3377" customWidth="1"/>
    <col min="10513" max="10513" width="8" style="3377" customWidth="1"/>
    <col min="10514" max="10514" width="16.875" style="3377" customWidth="1"/>
    <col min="10515" max="10515" width="7.875" style="3377" customWidth="1"/>
    <col min="10516" max="10752" width="9" style="3377"/>
    <col min="10753" max="10753" width="50.875" style="3377" customWidth="1"/>
    <col min="10754" max="10754" width="6.25" style="3377" customWidth="1"/>
    <col min="10755" max="10755" width="11.75" style="3377" customWidth="1"/>
    <col min="10756" max="10756" width="7.875" style="3377" customWidth="1"/>
    <col min="10757" max="10757" width="10.875" style="3377" customWidth="1"/>
    <col min="10758" max="10758" width="42.25" style="3377" customWidth="1"/>
    <col min="10759" max="10760" width="13.875" style="3377" customWidth="1"/>
    <col min="10761" max="10761" width="31" style="3377" customWidth="1"/>
    <col min="10762" max="10762" width="7.875" style="3377" customWidth="1"/>
    <col min="10763" max="10763" width="9" style="3377" customWidth="1"/>
    <col min="10764" max="10764" width="26.125" style="3377" customWidth="1"/>
    <col min="10765" max="10765" width="10.625" style="3377" customWidth="1"/>
    <col min="10766" max="10766" width="16" style="3377" customWidth="1"/>
    <col min="10767" max="10767" width="14.375" style="3377" customWidth="1"/>
    <col min="10768" max="10768" width="6.25" style="3377" customWidth="1"/>
    <col min="10769" max="10769" width="8" style="3377" customWidth="1"/>
    <col min="10770" max="10770" width="16.875" style="3377" customWidth="1"/>
    <col min="10771" max="10771" width="7.875" style="3377" customWidth="1"/>
    <col min="10772" max="11008" width="9" style="3377"/>
    <col min="11009" max="11009" width="50.875" style="3377" customWidth="1"/>
    <col min="11010" max="11010" width="6.25" style="3377" customWidth="1"/>
    <col min="11011" max="11011" width="11.75" style="3377" customWidth="1"/>
    <col min="11012" max="11012" width="7.875" style="3377" customWidth="1"/>
    <col min="11013" max="11013" width="10.875" style="3377" customWidth="1"/>
    <col min="11014" max="11014" width="42.25" style="3377" customWidth="1"/>
    <col min="11015" max="11016" width="13.875" style="3377" customWidth="1"/>
    <col min="11017" max="11017" width="31" style="3377" customWidth="1"/>
    <col min="11018" max="11018" width="7.875" style="3377" customWidth="1"/>
    <col min="11019" max="11019" width="9" style="3377" customWidth="1"/>
    <col min="11020" max="11020" width="26.125" style="3377" customWidth="1"/>
    <col min="11021" max="11021" width="10.625" style="3377" customWidth="1"/>
    <col min="11022" max="11022" width="16" style="3377" customWidth="1"/>
    <col min="11023" max="11023" width="14.375" style="3377" customWidth="1"/>
    <col min="11024" max="11024" width="6.25" style="3377" customWidth="1"/>
    <col min="11025" max="11025" width="8" style="3377" customWidth="1"/>
    <col min="11026" max="11026" width="16.875" style="3377" customWidth="1"/>
    <col min="11027" max="11027" width="7.875" style="3377" customWidth="1"/>
    <col min="11028" max="11264" width="9" style="3377"/>
    <col min="11265" max="11265" width="50.875" style="3377" customWidth="1"/>
    <col min="11266" max="11266" width="6.25" style="3377" customWidth="1"/>
    <col min="11267" max="11267" width="11.75" style="3377" customWidth="1"/>
    <col min="11268" max="11268" width="7.875" style="3377" customWidth="1"/>
    <col min="11269" max="11269" width="10.875" style="3377" customWidth="1"/>
    <col min="11270" max="11270" width="42.25" style="3377" customWidth="1"/>
    <col min="11271" max="11272" width="13.875" style="3377" customWidth="1"/>
    <col min="11273" max="11273" width="31" style="3377" customWidth="1"/>
    <col min="11274" max="11274" width="7.875" style="3377" customWidth="1"/>
    <col min="11275" max="11275" width="9" style="3377" customWidth="1"/>
    <col min="11276" max="11276" width="26.125" style="3377" customWidth="1"/>
    <col min="11277" max="11277" width="10.625" style="3377" customWidth="1"/>
    <col min="11278" max="11278" width="16" style="3377" customWidth="1"/>
    <col min="11279" max="11279" width="14.375" style="3377" customWidth="1"/>
    <col min="11280" max="11280" width="6.25" style="3377" customWidth="1"/>
    <col min="11281" max="11281" width="8" style="3377" customWidth="1"/>
    <col min="11282" max="11282" width="16.875" style="3377" customWidth="1"/>
    <col min="11283" max="11283" width="7.875" style="3377" customWidth="1"/>
    <col min="11284" max="11520" width="9" style="3377"/>
    <col min="11521" max="11521" width="50.875" style="3377" customWidth="1"/>
    <col min="11522" max="11522" width="6.25" style="3377" customWidth="1"/>
    <col min="11523" max="11523" width="11.75" style="3377" customWidth="1"/>
    <col min="11524" max="11524" width="7.875" style="3377" customWidth="1"/>
    <col min="11525" max="11525" width="10.875" style="3377" customWidth="1"/>
    <col min="11526" max="11526" width="42.25" style="3377" customWidth="1"/>
    <col min="11527" max="11528" width="13.875" style="3377" customWidth="1"/>
    <col min="11529" max="11529" width="31" style="3377" customWidth="1"/>
    <col min="11530" max="11530" width="7.875" style="3377" customWidth="1"/>
    <col min="11531" max="11531" width="9" style="3377" customWidth="1"/>
    <col min="11532" max="11532" width="26.125" style="3377" customWidth="1"/>
    <col min="11533" max="11533" width="10.625" style="3377" customWidth="1"/>
    <col min="11534" max="11534" width="16" style="3377" customWidth="1"/>
    <col min="11535" max="11535" width="14.375" style="3377" customWidth="1"/>
    <col min="11536" max="11536" width="6.25" style="3377" customWidth="1"/>
    <col min="11537" max="11537" width="8" style="3377" customWidth="1"/>
    <col min="11538" max="11538" width="16.875" style="3377" customWidth="1"/>
    <col min="11539" max="11539" width="7.875" style="3377" customWidth="1"/>
    <col min="11540" max="11776" width="9" style="3377"/>
    <col min="11777" max="11777" width="50.875" style="3377" customWidth="1"/>
    <col min="11778" max="11778" width="6.25" style="3377" customWidth="1"/>
    <col min="11779" max="11779" width="11.75" style="3377" customWidth="1"/>
    <col min="11780" max="11780" width="7.875" style="3377" customWidth="1"/>
    <col min="11781" max="11781" width="10.875" style="3377" customWidth="1"/>
    <col min="11782" max="11782" width="42.25" style="3377" customWidth="1"/>
    <col min="11783" max="11784" width="13.875" style="3377" customWidth="1"/>
    <col min="11785" max="11785" width="31" style="3377" customWidth="1"/>
    <col min="11786" max="11786" width="7.875" style="3377" customWidth="1"/>
    <col min="11787" max="11787" width="9" style="3377" customWidth="1"/>
    <col min="11788" max="11788" width="26.125" style="3377" customWidth="1"/>
    <col min="11789" max="11789" width="10.625" style="3377" customWidth="1"/>
    <col min="11790" max="11790" width="16" style="3377" customWidth="1"/>
    <col min="11791" max="11791" width="14.375" style="3377" customWidth="1"/>
    <col min="11792" max="11792" width="6.25" style="3377" customWidth="1"/>
    <col min="11793" max="11793" width="8" style="3377" customWidth="1"/>
    <col min="11794" max="11794" width="16.875" style="3377" customWidth="1"/>
    <col min="11795" max="11795" width="7.875" style="3377" customWidth="1"/>
    <col min="11796" max="12032" width="9" style="3377"/>
    <col min="12033" max="12033" width="50.875" style="3377" customWidth="1"/>
    <col min="12034" max="12034" width="6.25" style="3377" customWidth="1"/>
    <col min="12035" max="12035" width="11.75" style="3377" customWidth="1"/>
    <col min="12036" max="12036" width="7.875" style="3377" customWidth="1"/>
    <col min="12037" max="12037" width="10.875" style="3377" customWidth="1"/>
    <col min="12038" max="12038" width="42.25" style="3377" customWidth="1"/>
    <col min="12039" max="12040" width="13.875" style="3377" customWidth="1"/>
    <col min="12041" max="12041" width="31" style="3377" customWidth="1"/>
    <col min="12042" max="12042" width="7.875" style="3377" customWidth="1"/>
    <col min="12043" max="12043" width="9" style="3377" customWidth="1"/>
    <col min="12044" max="12044" width="26.125" style="3377" customWidth="1"/>
    <col min="12045" max="12045" width="10.625" style="3377" customWidth="1"/>
    <col min="12046" max="12046" width="16" style="3377" customWidth="1"/>
    <col min="12047" max="12047" width="14.375" style="3377" customWidth="1"/>
    <col min="12048" max="12048" width="6.25" style="3377" customWidth="1"/>
    <col min="12049" max="12049" width="8" style="3377" customWidth="1"/>
    <col min="12050" max="12050" width="16.875" style="3377" customWidth="1"/>
    <col min="12051" max="12051" width="7.875" style="3377" customWidth="1"/>
    <col min="12052" max="12288" width="9" style="3377"/>
    <col min="12289" max="12289" width="50.875" style="3377" customWidth="1"/>
    <col min="12290" max="12290" width="6.25" style="3377" customWidth="1"/>
    <col min="12291" max="12291" width="11.75" style="3377" customWidth="1"/>
    <col min="12292" max="12292" width="7.875" style="3377" customWidth="1"/>
    <col min="12293" max="12293" width="10.875" style="3377" customWidth="1"/>
    <col min="12294" max="12294" width="42.25" style="3377" customWidth="1"/>
    <col min="12295" max="12296" width="13.875" style="3377" customWidth="1"/>
    <col min="12297" max="12297" width="31" style="3377" customWidth="1"/>
    <col min="12298" max="12298" width="7.875" style="3377" customWidth="1"/>
    <col min="12299" max="12299" width="9" style="3377" customWidth="1"/>
    <col min="12300" max="12300" width="26.125" style="3377" customWidth="1"/>
    <col min="12301" max="12301" width="10.625" style="3377" customWidth="1"/>
    <col min="12302" max="12302" width="16" style="3377" customWidth="1"/>
    <col min="12303" max="12303" width="14.375" style="3377" customWidth="1"/>
    <col min="12304" max="12304" width="6.25" style="3377" customWidth="1"/>
    <col min="12305" max="12305" width="8" style="3377" customWidth="1"/>
    <col min="12306" max="12306" width="16.875" style="3377" customWidth="1"/>
    <col min="12307" max="12307" width="7.875" style="3377" customWidth="1"/>
    <col min="12308" max="12544" width="9" style="3377"/>
    <col min="12545" max="12545" width="50.875" style="3377" customWidth="1"/>
    <col min="12546" max="12546" width="6.25" style="3377" customWidth="1"/>
    <col min="12547" max="12547" width="11.75" style="3377" customWidth="1"/>
    <col min="12548" max="12548" width="7.875" style="3377" customWidth="1"/>
    <col min="12549" max="12549" width="10.875" style="3377" customWidth="1"/>
    <col min="12550" max="12550" width="42.25" style="3377" customWidth="1"/>
    <col min="12551" max="12552" width="13.875" style="3377" customWidth="1"/>
    <col min="12553" max="12553" width="31" style="3377" customWidth="1"/>
    <col min="12554" max="12554" width="7.875" style="3377" customWidth="1"/>
    <col min="12555" max="12555" width="9" style="3377" customWidth="1"/>
    <col min="12556" max="12556" width="26.125" style="3377" customWidth="1"/>
    <col min="12557" max="12557" width="10.625" style="3377" customWidth="1"/>
    <col min="12558" max="12558" width="16" style="3377" customWidth="1"/>
    <col min="12559" max="12559" width="14.375" style="3377" customWidth="1"/>
    <col min="12560" max="12560" width="6.25" style="3377" customWidth="1"/>
    <col min="12561" max="12561" width="8" style="3377" customWidth="1"/>
    <col min="12562" max="12562" width="16.875" style="3377" customWidth="1"/>
    <col min="12563" max="12563" width="7.875" style="3377" customWidth="1"/>
    <col min="12564" max="12800" width="9" style="3377"/>
    <col min="12801" max="12801" width="50.875" style="3377" customWidth="1"/>
    <col min="12802" max="12802" width="6.25" style="3377" customWidth="1"/>
    <col min="12803" max="12803" width="11.75" style="3377" customWidth="1"/>
    <col min="12804" max="12804" width="7.875" style="3377" customWidth="1"/>
    <col min="12805" max="12805" width="10.875" style="3377" customWidth="1"/>
    <col min="12806" max="12806" width="42.25" style="3377" customWidth="1"/>
    <col min="12807" max="12808" width="13.875" style="3377" customWidth="1"/>
    <col min="12809" max="12809" width="31" style="3377" customWidth="1"/>
    <col min="12810" max="12810" width="7.875" style="3377" customWidth="1"/>
    <col min="12811" max="12811" width="9" style="3377" customWidth="1"/>
    <col min="12812" max="12812" width="26.125" style="3377" customWidth="1"/>
    <col min="12813" max="12813" width="10.625" style="3377" customWidth="1"/>
    <col min="12814" max="12814" width="16" style="3377" customWidth="1"/>
    <col min="12815" max="12815" width="14.375" style="3377" customWidth="1"/>
    <col min="12816" max="12816" width="6.25" style="3377" customWidth="1"/>
    <col min="12817" max="12817" width="8" style="3377" customWidth="1"/>
    <col min="12818" max="12818" width="16.875" style="3377" customWidth="1"/>
    <col min="12819" max="12819" width="7.875" style="3377" customWidth="1"/>
    <col min="12820" max="13056" width="9" style="3377"/>
    <col min="13057" max="13057" width="50.875" style="3377" customWidth="1"/>
    <col min="13058" max="13058" width="6.25" style="3377" customWidth="1"/>
    <col min="13059" max="13059" width="11.75" style="3377" customWidth="1"/>
    <col min="13060" max="13060" width="7.875" style="3377" customWidth="1"/>
    <col min="13061" max="13061" width="10.875" style="3377" customWidth="1"/>
    <col min="13062" max="13062" width="42.25" style="3377" customWidth="1"/>
    <col min="13063" max="13064" width="13.875" style="3377" customWidth="1"/>
    <col min="13065" max="13065" width="31" style="3377" customWidth="1"/>
    <col min="13066" max="13066" width="7.875" style="3377" customWidth="1"/>
    <col min="13067" max="13067" width="9" style="3377" customWidth="1"/>
    <col min="13068" max="13068" width="26.125" style="3377" customWidth="1"/>
    <col min="13069" max="13069" width="10.625" style="3377" customWidth="1"/>
    <col min="13070" max="13070" width="16" style="3377" customWidth="1"/>
    <col min="13071" max="13071" width="14.375" style="3377" customWidth="1"/>
    <col min="13072" max="13072" width="6.25" style="3377" customWidth="1"/>
    <col min="13073" max="13073" width="8" style="3377" customWidth="1"/>
    <col min="13074" max="13074" width="16.875" style="3377" customWidth="1"/>
    <col min="13075" max="13075" width="7.875" style="3377" customWidth="1"/>
    <col min="13076" max="13312" width="9" style="3377"/>
    <col min="13313" max="13313" width="50.875" style="3377" customWidth="1"/>
    <col min="13314" max="13314" width="6.25" style="3377" customWidth="1"/>
    <col min="13315" max="13315" width="11.75" style="3377" customWidth="1"/>
    <col min="13316" max="13316" width="7.875" style="3377" customWidth="1"/>
    <col min="13317" max="13317" width="10.875" style="3377" customWidth="1"/>
    <col min="13318" max="13318" width="42.25" style="3377" customWidth="1"/>
    <col min="13319" max="13320" width="13.875" style="3377" customWidth="1"/>
    <col min="13321" max="13321" width="31" style="3377" customWidth="1"/>
    <col min="13322" max="13322" width="7.875" style="3377" customWidth="1"/>
    <col min="13323" max="13323" width="9" style="3377" customWidth="1"/>
    <col min="13324" max="13324" width="26.125" style="3377" customWidth="1"/>
    <col min="13325" max="13325" width="10.625" style="3377" customWidth="1"/>
    <col min="13326" max="13326" width="16" style="3377" customWidth="1"/>
    <col min="13327" max="13327" width="14.375" style="3377" customWidth="1"/>
    <col min="13328" max="13328" width="6.25" style="3377" customWidth="1"/>
    <col min="13329" max="13329" width="8" style="3377" customWidth="1"/>
    <col min="13330" max="13330" width="16.875" style="3377" customWidth="1"/>
    <col min="13331" max="13331" width="7.875" style="3377" customWidth="1"/>
    <col min="13332" max="13568" width="9" style="3377"/>
    <col min="13569" max="13569" width="50.875" style="3377" customWidth="1"/>
    <col min="13570" max="13570" width="6.25" style="3377" customWidth="1"/>
    <col min="13571" max="13571" width="11.75" style="3377" customWidth="1"/>
    <col min="13572" max="13572" width="7.875" style="3377" customWidth="1"/>
    <col min="13573" max="13573" width="10.875" style="3377" customWidth="1"/>
    <col min="13574" max="13574" width="42.25" style="3377" customWidth="1"/>
    <col min="13575" max="13576" width="13.875" style="3377" customWidth="1"/>
    <col min="13577" max="13577" width="31" style="3377" customWidth="1"/>
    <col min="13578" max="13578" width="7.875" style="3377" customWidth="1"/>
    <col min="13579" max="13579" width="9" style="3377" customWidth="1"/>
    <col min="13580" max="13580" width="26.125" style="3377" customWidth="1"/>
    <col min="13581" max="13581" width="10.625" style="3377" customWidth="1"/>
    <col min="13582" max="13582" width="16" style="3377" customWidth="1"/>
    <col min="13583" max="13583" width="14.375" style="3377" customWidth="1"/>
    <col min="13584" max="13584" width="6.25" style="3377" customWidth="1"/>
    <col min="13585" max="13585" width="8" style="3377" customWidth="1"/>
    <col min="13586" max="13586" width="16.875" style="3377" customWidth="1"/>
    <col min="13587" max="13587" width="7.875" style="3377" customWidth="1"/>
    <col min="13588" max="13824" width="9" style="3377"/>
    <col min="13825" max="13825" width="50.875" style="3377" customWidth="1"/>
    <col min="13826" max="13826" width="6.25" style="3377" customWidth="1"/>
    <col min="13827" max="13827" width="11.75" style="3377" customWidth="1"/>
    <col min="13828" max="13828" width="7.875" style="3377" customWidth="1"/>
    <col min="13829" max="13829" width="10.875" style="3377" customWidth="1"/>
    <col min="13830" max="13830" width="42.25" style="3377" customWidth="1"/>
    <col min="13831" max="13832" width="13.875" style="3377" customWidth="1"/>
    <col min="13833" max="13833" width="31" style="3377" customWidth="1"/>
    <col min="13834" max="13834" width="7.875" style="3377" customWidth="1"/>
    <col min="13835" max="13835" width="9" style="3377" customWidth="1"/>
    <col min="13836" max="13836" width="26.125" style="3377" customWidth="1"/>
    <col min="13837" max="13837" width="10.625" style="3377" customWidth="1"/>
    <col min="13838" max="13838" width="16" style="3377" customWidth="1"/>
    <col min="13839" max="13839" width="14.375" style="3377" customWidth="1"/>
    <col min="13840" max="13840" width="6.25" style="3377" customWidth="1"/>
    <col min="13841" max="13841" width="8" style="3377" customWidth="1"/>
    <col min="13842" max="13842" width="16.875" style="3377" customWidth="1"/>
    <col min="13843" max="13843" width="7.875" style="3377" customWidth="1"/>
    <col min="13844" max="14080" width="9" style="3377"/>
    <col min="14081" max="14081" width="50.875" style="3377" customWidth="1"/>
    <col min="14082" max="14082" width="6.25" style="3377" customWidth="1"/>
    <col min="14083" max="14083" width="11.75" style="3377" customWidth="1"/>
    <col min="14084" max="14084" width="7.875" style="3377" customWidth="1"/>
    <col min="14085" max="14085" width="10.875" style="3377" customWidth="1"/>
    <col min="14086" max="14086" width="42.25" style="3377" customWidth="1"/>
    <col min="14087" max="14088" width="13.875" style="3377" customWidth="1"/>
    <col min="14089" max="14089" width="31" style="3377" customWidth="1"/>
    <col min="14090" max="14090" width="7.875" style="3377" customWidth="1"/>
    <col min="14091" max="14091" width="9" style="3377" customWidth="1"/>
    <col min="14092" max="14092" width="26.125" style="3377" customWidth="1"/>
    <col min="14093" max="14093" width="10.625" style="3377" customWidth="1"/>
    <col min="14094" max="14094" width="16" style="3377" customWidth="1"/>
    <col min="14095" max="14095" width="14.375" style="3377" customWidth="1"/>
    <col min="14096" max="14096" width="6.25" style="3377" customWidth="1"/>
    <col min="14097" max="14097" width="8" style="3377" customWidth="1"/>
    <col min="14098" max="14098" width="16.875" style="3377" customWidth="1"/>
    <col min="14099" max="14099" width="7.875" style="3377" customWidth="1"/>
    <col min="14100" max="14336" width="9" style="3377"/>
    <col min="14337" max="14337" width="50.875" style="3377" customWidth="1"/>
    <col min="14338" max="14338" width="6.25" style="3377" customWidth="1"/>
    <col min="14339" max="14339" width="11.75" style="3377" customWidth="1"/>
    <col min="14340" max="14340" width="7.875" style="3377" customWidth="1"/>
    <col min="14341" max="14341" width="10.875" style="3377" customWidth="1"/>
    <col min="14342" max="14342" width="42.25" style="3377" customWidth="1"/>
    <col min="14343" max="14344" width="13.875" style="3377" customWidth="1"/>
    <col min="14345" max="14345" width="31" style="3377" customWidth="1"/>
    <col min="14346" max="14346" width="7.875" style="3377" customWidth="1"/>
    <col min="14347" max="14347" width="9" style="3377" customWidth="1"/>
    <col min="14348" max="14348" width="26.125" style="3377" customWidth="1"/>
    <col min="14349" max="14349" width="10.625" style="3377" customWidth="1"/>
    <col min="14350" max="14350" width="16" style="3377" customWidth="1"/>
    <col min="14351" max="14351" width="14.375" style="3377" customWidth="1"/>
    <col min="14352" max="14352" width="6.25" style="3377" customWidth="1"/>
    <col min="14353" max="14353" width="8" style="3377" customWidth="1"/>
    <col min="14354" max="14354" width="16.875" style="3377" customWidth="1"/>
    <col min="14355" max="14355" width="7.875" style="3377" customWidth="1"/>
    <col min="14356" max="14592" width="9" style="3377"/>
    <col min="14593" max="14593" width="50.875" style="3377" customWidth="1"/>
    <col min="14594" max="14594" width="6.25" style="3377" customWidth="1"/>
    <col min="14595" max="14595" width="11.75" style="3377" customWidth="1"/>
    <col min="14596" max="14596" width="7.875" style="3377" customWidth="1"/>
    <col min="14597" max="14597" width="10.875" style="3377" customWidth="1"/>
    <col min="14598" max="14598" width="42.25" style="3377" customWidth="1"/>
    <col min="14599" max="14600" width="13.875" style="3377" customWidth="1"/>
    <col min="14601" max="14601" width="31" style="3377" customWidth="1"/>
    <col min="14602" max="14602" width="7.875" style="3377" customWidth="1"/>
    <col min="14603" max="14603" width="9" style="3377" customWidth="1"/>
    <col min="14604" max="14604" width="26.125" style="3377" customWidth="1"/>
    <col min="14605" max="14605" width="10.625" style="3377" customWidth="1"/>
    <col min="14606" max="14606" width="16" style="3377" customWidth="1"/>
    <col min="14607" max="14607" width="14.375" style="3377" customWidth="1"/>
    <col min="14608" max="14608" width="6.25" style="3377" customWidth="1"/>
    <col min="14609" max="14609" width="8" style="3377" customWidth="1"/>
    <col min="14610" max="14610" width="16.875" style="3377" customWidth="1"/>
    <col min="14611" max="14611" width="7.875" style="3377" customWidth="1"/>
    <col min="14612" max="14848" width="9" style="3377"/>
    <col min="14849" max="14849" width="50.875" style="3377" customWidth="1"/>
    <col min="14850" max="14850" width="6.25" style="3377" customWidth="1"/>
    <col min="14851" max="14851" width="11.75" style="3377" customWidth="1"/>
    <col min="14852" max="14852" width="7.875" style="3377" customWidth="1"/>
    <col min="14853" max="14853" width="10.875" style="3377" customWidth="1"/>
    <col min="14854" max="14854" width="42.25" style="3377" customWidth="1"/>
    <col min="14855" max="14856" width="13.875" style="3377" customWidth="1"/>
    <col min="14857" max="14857" width="31" style="3377" customWidth="1"/>
    <col min="14858" max="14858" width="7.875" style="3377" customWidth="1"/>
    <col min="14859" max="14859" width="9" style="3377" customWidth="1"/>
    <col min="14860" max="14860" width="26.125" style="3377" customWidth="1"/>
    <col min="14861" max="14861" width="10.625" style="3377" customWidth="1"/>
    <col min="14862" max="14862" width="16" style="3377" customWidth="1"/>
    <col min="14863" max="14863" width="14.375" style="3377" customWidth="1"/>
    <col min="14864" max="14864" width="6.25" style="3377" customWidth="1"/>
    <col min="14865" max="14865" width="8" style="3377" customWidth="1"/>
    <col min="14866" max="14866" width="16.875" style="3377" customWidth="1"/>
    <col min="14867" max="14867" width="7.875" style="3377" customWidth="1"/>
    <col min="14868" max="15104" width="9" style="3377"/>
    <col min="15105" max="15105" width="50.875" style="3377" customWidth="1"/>
    <col min="15106" max="15106" width="6.25" style="3377" customWidth="1"/>
    <col min="15107" max="15107" width="11.75" style="3377" customWidth="1"/>
    <col min="15108" max="15108" width="7.875" style="3377" customWidth="1"/>
    <col min="15109" max="15109" width="10.875" style="3377" customWidth="1"/>
    <col min="15110" max="15110" width="42.25" style="3377" customWidth="1"/>
    <col min="15111" max="15112" width="13.875" style="3377" customWidth="1"/>
    <col min="15113" max="15113" width="31" style="3377" customWidth="1"/>
    <col min="15114" max="15114" width="7.875" style="3377" customWidth="1"/>
    <col min="15115" max="15115" width="9" style="3377" customWidth="1"/>
    <col min="15116" max="15116" width="26.125" style="3377" customWidth="1"/>
    <col min="15117" max="15117" width="10.625" style="3377" customWidth="1"/>
    <col min="15118" max="15118" width="16" style="3377" customWidth="1"/>
    <col min="15119" max="15119" width="14.375" style="3377" customWidth="1"/>
    <col min="15120" max="15120" width="6.25" style="3377" customWidth="1"/>
    <col min="15121" max="15121" width="8" style="3377" customWidth="1"/>
    <col min="15122" max="15122" width="16.875" style="3377" customWidth="1"/>
    <col min="15123" max="15123" width="7.875" style="3377" customWidth="1"/>
    <col min="15124" max="15360" width="9" style="3377"/>
    <col min="15361" max="15361" width="50.875" style="3377" customWidth="1"/>
    <col min="15362" max="15362" width="6.25" style="3377" customWidth="1"/>
    <col min="15363" max="15363" width="11.75" style="3377" customWidth="1"/>
    <col min="15364" max="15364" width="7.875" style="3377" customWidth="1"/>
    <col min="15365" max="15365" width="10.875" style="3377" customWidth="1"/>
    <col min="15366" max="15366" width="42.25" style="3377" customWidth="1"/>
    <col min="15367" max="15368" width="13.875" style="3377" customWidth="1"/>
    <col min="15369" max="15369" width="31" style="3377" customWidth="1"/>
    <col min="15370" max="15370" width="7.875" style="3377" customWidth="1"/>
    <col min="15371" max="15371" width="9" style="3377" customWidth="1"/>
    <col min="15372" max="15372" width="26.125" style="3377" customWidth="1"/>
    <col min="15373" max="15373" width="10.625" style="3377" customWidth="1"/>
    <col min="15374" max="15374" width="16" style="3377" customWidth="1"/>
    <col min="15375" max="15375" width="14.375" style="3377" customWidth="1"/>
    <col min="15376" max="15376" width="6.25" style="3377" customWidth="1"/>
    <col min="15377" max="15377" width="8" style="3377" customWidth="1"/>
    <col min="15378" max="15378" width="16.875" style="3377" customWidth="1"/>
    <col min="15379" max="15379" width="7.875" style="3377" customWidth="1"/>
    <col min="15380" max="15616" width="9" style="3377"/>
    <col min="15617" max="15617" width="50.875" style="3377" customWidth="1"/>
    <col min="15618" max="15618" width="6.25" style="3377" customWidth="1"/>
    <col min="15619" max="15619" width="11.75" style="3377" customWidth="1"/>
    <col min="15620" max="15620" width="7.875" style="3377" customWidth="1"/>
    <col min="15621" max="15621" width="10.875" style="3377" customWidth="1"/>
    <col min="15622" max="15622" width="42.25" style="3377" customWidth="1"/>
    <col min="15623" max="15624" width="13.875" style="3377" customWidth="1"/>
    <col min="15625" max="15625" width="31" style="3377" customWidth="1"/>
    <col min="15626" max="15626" width="7.875" style="3377" customWidth="1"/>
    <col min="15627" max="15627" width="9" style="3377" customWidth="1"/>
    <col min="15628" max="15628" width="26.125" style="3377" customWidth="1"/>
    <col min="15629" max="15629" width="10.625" style="3377" customWidth="1"/>
    <col min="15630" max="15630" width="16" style="3377" customWidth="1"/>
    <col min="15631" max="15631" width="14.375" style="3377" customWidth="1"/>
    <col min="15632" max="15632" width="6.25" style="3377" customWidth="1"/>
    <col min="15633" max="15633" width="8" style="3377" customWidth="1"/>
    <col min="15634" max="15634" width="16.875" style="3377" customWidth="1"/>
    <col min="15635" max="15635" width="7.875" style="3377" customWidth="1"/>
    <col min="15636" max="15872" width="9" style="3377"/>
    <col min="15873" max="15873" width="50.875" style="3377" customWidth="1"/>
    <col min="15874" max="15874" width="6.25" style="3377" customWidth="1"/>
    <col min="15875" max="15875" width="11.75" style="3377" customWidth="1"/>
    <col min="15876" max="15876" width="7.875" style="3377" customWidth="1"/>
    <col min="15877" max="15877" width="10.875" style="3377" customWidth="1"/>
    <col min="15878" max="15878" width="42.25" style="3377" customWidth="1"/>
    <col min="15879" max="15880" width="13.875" style="3377" customWidth="1"/>
    <col min="15881" max="15881" width="31" style="3377" customWidth="1"/>
    <col min="15882" max="15882" width="7.875" style="3377" customWidth="1"/>
    <col min="15883" max="15883" width="9" style="3377" customWidth="1"/>
    <col min="15884" max="15884" width="26.125" style="3377" customWidth="1"/>
    <col min="15885" max="15885" width="10.625" style="3377" customWidth="1"/>
    <col min="15886" max="15886" width="16" style="3377" customWidth="1"/>
    <col min="15887" max="15887" width="14.375" style="3377" customWidth="1"/>
    <col min="15888" max="15888" width="6.25" style="3377" customWidth="1"/>
    <col min="15889" max="15889" width="8" style="3377" customWidth="1"/>
    <col min="15890" max="15890" width="16.875" style="3377" customWidth="1"/>
    <col min="15891" max="15891" width="7.875" style="3377" customWidth="1"/>
    <col min="15892" max="16128" width="9" style="3377"/>
    <col min="16129" max="16129" width="50.875" style="3377" customWidth="1"/>
    <col min="16130" max="16130" width="6.25" style="3377" customWidth="1"/>
    <col min="16131" max="16131" width="11.75" style="3377" customWidth="1"/>
    <col min="16132" max="16132" width="7.875" style="3377" customWidth="1"/>
    <col min="16133" max="16133" width="10.875" style="3377" customWidth="1"/>
    <col min="16134" max="16134" width="42.25" style="3377" customWidth="1"/>
    <col min="16135" max="16136" width="13.875" style="3377" customWidth="1"/>
    <col min="16137" max="16137" width="31" style="3377" customWidth="1"/>
    <col min="16138" max="16138" width="7.875" style="3377" customWidth="1"/>
    <col min="16139" max="16139" width="9" style="3377" customWidth="1"/>
    <col min="16140" max="16140" width="26.125" style="3377" customWidth="1"/>
    <col min="16141" max="16141" width="10.625" style="3377" customWidth="1"/>
    <col min="16142" max="16142" width="16" style="3377" customWidth="1"/>
    <col min="16143" max="16143" width="14.375" style="3377" customWidth="1"/>
    <col min="16144" max="16144" width="6.25" style="3377" customWidth="1"/>
    <col min="16145" max="16145" width="8" style="3377" customWidth="1"/>
    <col min="16146" max="16146" width="16.875" style="3377" customWidth="1"/>
    <col min="16147" max="16147" width="7.875" style="3377" customWidth="1"/>
    <col min="16148" max="16384" width="9" style="3377"/>
  </cols>
  <sheetData>
    <row r="1" spans="1:20">
      <c r="A1" s="3377" t="s">
        <v>3089</v>
      </c>
      <c r="B1" s="3377" t="s">
        <v>3090</v>
      </c>
      <c r="C1" s="3377" t="s">
        <v>3091</v>
      </c>
      <c r="D1" s="3377" t="s">
        <v>3092</v>
      </c>
      <c r="E1" s="3377" t="s">
        <v>3093</v>
      </c>
      <c r="F1" s="3377" t="s">
        <v>3094</v>
      </c>
      <c r="G1" s="3377" t="s">
        <v>3095</v>
      </c>
      <c r="H1" s="3377" t="s">
        <v>3096</v>
      </c>
      <c r="I1" s="3377" t="s">
        <v>2019</v>
      </c>
      <c r="J1" s="3377" t="s">
        <v>3097</v>
      </c>
      <c r="K1" s="3377" t="s">
        <v>3098</v>
      </c>
      <c r="L1" s="3377" t="s">
        <v>3099</v>
      </c>
      <c r="M1" s="3377" t="s">
        <v>3100</v>
      </c>
      <c r="N1" s="3377" t="s">
        <v>3101</v>
      </c>
      <c r="O1" s="3377" t="s">
        <v>3102</v>
      </c>
      <c r="P1" s="3377" t="s">
        <v>3103</v>
      </c>
      <c r="Q1" s="3377" t="s">
        <v>3104</v>
      </c>
      <c r="R1" s="3377" t="s">
        <v>3105</v>
      </c>
      <c r="S1" s="3377" t="s">
        <v>3106</v>
      </c>
    </row>
    <row r="2" spans="1:20" hidden="1">
      <c r="A2" s="3377" t="s">
        <v>3107</v>
      </c>
      <c r="B2" s="3377" t="s">
        <v>3000</v>
      </c>
      <c r="C2" s="3377" t="s">
        <v>3108</v>
      </c>
      <c r="D2" s="3377" t="s">
        <v>3109</v>
      </c>
      <c r="E2" s="3377" t="s">
        <v>3110</v>
      </c>
      <c r="F2" s="3377" t="s">
        <v>3060</v>
      </c>
      <c r="G2" s="3377">
        <v>27000</v>
      </c>
      <c r="H2" s="3377">
        <v>108800</v>
      </c>
      <c r="I2" s="3377" t="s">
        <v>3111</v>
      </c>
      <c r="J2" s="3377" t="s">
        <v>2794</v>
      </c>
      <c r="K2" s="3377" t="s">
        <v>3112</v>
      </c>
      <c r="L2" s="3377" t="s">
        <v>3113</v>
      </c>
      <c r="M2" s="3377">
        <v>87610</v>
      </c>
      <c r="N2" s="3377">
        <v>2163.21</v>
      </c>
      <c r="O2" s="3377">
        <v>8052.39</v>
      </c>
      <c r="P2" s="3377">
        <v>0</v>
      </c>
      <c r="Q2" s="3377" t="s">
        <v>3114</v>
      </c>
      <c r="R2" s="3377" t="s">
        <v>2794</v>
      </c>
      <c r="S2" s="3377" t="s">
        <v>3115</v>
      </c>
    </row>
    <row r="3" spans="1:20" hidden="1">
      <c r="A3" s="3377" t="s">
        <v>3116</v>
      </c>
      <c r="B3" s="3377" t="s">
        <v>3000</v>
      </c>
      <c r="C3" s="3377" t="s">
        <v>3108</v>
      </c>
      <c r="D3" s="3377" t="s">
        <v>3109</v>
      </c>
      <c r="E3" s="3377" t="s">
        <v>3117</v>
      </c>
      <c r="F3" s="3377" t="s">
        <v>3060</v>
      </c>
      <c r="G3" s="3377">
        <v>47623.85</v>
      </c>
      <c r="H3" s="3377">
        <v>12943.72</v>
      </c>
      <c r="I3" s="3377">
        <v>0.27</v>
      </c>
      <c r="J3" s="3377" t="s">
        <v>2794</v>
      </c>
      <c r="K3" s="3377" t="s">
        <v>3118</v>
      </c>
      <c r="L3" s="3377" t="s">
        <v>3119</v>
      </c>
      <c r="M3" s="3377">
        <v>4701</v>
      </c>
      <c r="N3" s="3377">
        <v>65.81</v>
      </c>
      <c r="O3" s="3377">
        <v>3631.88</v>
      </c>
      <c r="P3" s="3377">
        <v>0</v>
      </c>
      <c r="Q3" s="3377" t="s">
        <v>3114</v>
      </c>
      <c r="R3" s="3377" t="s">
        <v>2794</v>
      </c>
      <c r="S3" s="3377" t="s">
        <v>3115</v>
      </c>
    </row>
    <row r="4" spans="1:20" s="3380" customFormat="1">
      <c r="A4" s="3472" t="s">
        <v>3540</v>
      </c>
      <c r="B4" s="3380" t="s">
        <v>3000</v>
      </c>
      <c r="C4" s="3380" t="s">
        <v>3108</v>
      </c>
      <c r="D4" s="3380" t="s">
        <v>3109</v>
      </c>
      <c r="E4" s="3380" t="s">
        <v>3120</v>
      </c>
      <c r="F4" s="3380" t="s">
        <v>3121</v>
      </c>
      <c r="G4" s="3380">
        <v>5068</v>
      </c>
      <c r="H4" s="3380">
        <v>16740</v>
      </c>
      <c r="I4" s="3380" t="s">
        <v>3122</v>
      </c>
      <c r="J4" s="3380" t="s">
        <v>2794</v>
      </c>
      <c r="K4" s="3380" t="s">
        <v>3123</v>
      </c>
      <c r="L4" s="3380" t="s">
        <v>3124</v>
      </c>
      <c r="M4" s="3380">
        <v>18000</v>
      </c>
      <c r="N4" s="3380">
        <v>2367.8000000000002</v>
      </c>
      <c r="O4" s="3380">
        <v>10752.69</v>
      </c>
      <c r="P4" s="3380">
        <v>0</v>
      </c>
      <c r="Q4" s="3380" t="s">
        <v>3114</v>
      </c>
      <c r="R4" s="3380" t="s">
        <v>2794</v>
      </c>
      <c r="S4" s="3380" t="s">
        <v>3115</v>
      </c>
      <c r="T4" s="3380">
        <f>H4/G4</f>
        <v>3.3030781373322808</v>
      </c>
    </row>
    <row r="5" spans="1:20" hidden="1">
      <c r="A5" s="3377" t="s">
        <v>3125</v>
      </c>
      <c r="B5" s="3377" t="s">
        <v>3000</v>
      </c>
      <c r="C5" s="3377" t="s">
        <v>3108</v>
      </c>
      <c r="D5" s="3377" t="s">
        <v>3109</v>
      </c>
      <c r="E5" s="3377" t="s">
        <v>3126</v>
      </c>
      <c r="F5" s="3377" t="s">
        <v>3127</v>
      </c>
      <c r="G5" s="3377">
        <v>60365</v>
      </c>
      <c r="H5" s="3377">
        <v>257000</v>
      </c>
      <c r="I5" s="3377" t="s">
        <v>3128</v>
      </c>
      <c r="J5" s="3377" t="s">
        <v>2794</v>
      </c>
      <c r="K5" s="3377" t="s">
        <v>3129</v>
      </c>
      <c r="L5" s="3377" t="s">
        <v>3130</v>
      </c>
      <c r="M5" s="3377">
        <v>171925</v>
      </c>
      <c r="N5" s="3377">
        <v>1898.73</v>
      </c>
      <c r="O5" s="3377">
        <v>6689.68</v>
      </c>
      <c r="P5" s="3377">
        <v>0</v>
      </c>
      <c r="Q5" s="3377" t="s">
        <v>3114</v>
      </c>
      <c r="R5" s="3377" t="s">
        <v>2794</v>
      </c>
      <c r="S5" s="3377" t="s">
        <v>3115</v>
      </c>
    </row>
    <row r="6" spans="1:20" hidden="1">
      <c r="A6" s="3377" t="s">
        <v>3131</v>
      </c>
      <c r="B6" s="3377" t="s">
        <v>3000</v>
      </c>
      <c r="C6" s="3377" t="s">
        <v>3108</v>
      </c>
      <c r="D6" s="3377" t="s">
        <v>3109</v>
      </c>
      <c r="E6" s="3377" t="s">
        <v>3132</v>
      </c>
      <c r="F6" s="3377" t="s">
        <v>3121</v>
      </c>
      <c r="G6" s="3377">
        <v>18160</v>
      </c>
      <c r="H6" s="3377">
        <v>90000</v>
      </c>
      <c r="I6" s="3377" t="s">
        <v>3133</v>
      </c>
      <c r="J6" s="3377" t="s">
        <v>2794</v>
      </c>
      <c r="K6" s="3377" t="s">
        <v>3134</v>
      </c>
      <c r="L6" s="3377" t="s">
        <v>3135</v>
      </c>
      <c r="M6" s="3377">
        <v>72000</v>
      </c>
      <c r="N6" s="3377">
        <v>2643.17</v>
      </c>
      <c r="O6" s="3377">
        <v>8000</v>
      </c>
      <c r="P6" s="3377">
        <v>0</v>
      </c>
      <c r="Q6" s="3377" t="s">
        <v>3114</v>
      </c>
      <c r="R6" s="3377" t="s">
        <v>2794</v>
      </c>
      <c r="S6" s="3377" t="s">
        <v>3115</v>
      </c>
    </row>
    <row r="7" spans="1:20" s="3380" customFormat="1">
      <c r="A7" s="3472" t="s">
        <v>3541</v>
      </c>
      <c r="B7" s="3380" t="s">
        <v>3000</v>
      </c>
      <c r="C7" s="3380" t="s">
        <v>3108</v>
      </c>
      <c r="D7" s="3380" t="s">
        <v>3109</v>
      </c>
      <c r="E7" s="3380" t="s">
        <v>3136</v>
      </c>
      <c r="F7" s="3380" t="s">
        <v>3060</v>
      </c>
      <c r="G7" s="3380">
        <v>4818</v>
      </c>
      <c r="H7" s="3380">
        <v>15600</v>
      </c>
      <c r="I7" s="3380" t="s">
        <v>3137</v>
      </c>
      <c r="J7" s="3380" t="s">
        <v>2794</v>
      </c>
      <c r="K7" s="3380" t="s">
        <v>3138</v>
      </c>
      <c r="L7" s="3380" t="s">
        <v>3139</v>
      </c>
      <c r="M7" s="3380">
        <v>12480</v>
      </c>
      <c r="N7" s="3380">
        <v>1726.86</v>
      </c>
      <c r="O7" s="3380">
        <v>8000</v>
      </c>
      <c r="P7" s="3380">
        <v>0</v>
      </c>
      <c r="Q7" s="3380" t="s">
        <v>3114</v>
      </c>
      <c r="R7" s="3380" t="s">
        <v>2794</v>
      </c>
      <c r="S7" s="3380" t="s">
        <v>3115</v>
      </c>
    </row>
    <row r="8" spans="1:20" s="3380" customFormat="1">
      <c r="A8" s="3472" t="s">
        <v>3539</v>
      </c>
      <c r="B8" s="3380" t="s">
        <v>3000</v>
      </c>
      <c r="C8" s="3380" t="s">
        <v>3108</v>
      </c>
      <c r="D8" s="3380" t="s">
        <v>3109</v>
      </c>
      <c r="E8" s="3380" t="s">
        <v>3140</v>
      </c>
      <c r="F8" s="3380" t="s">
        <v>3121</v>
      </c>
      <c r="G8" s="3380">
        <v>8467.2199999999993</v>
      </c>
      <c r="H8" s="3380">
        <v>46700</v>
      </c>
      <c r="I8" s="3380" t="s">
        <v>3141</v>
      </c>
      <c r="J8" s="3380" t="s">
        <v>2794</v>
      </c>
      <c r="K8" s="3380" t="s">
        <v>3142</v>
      </c>
      <c r="L8" s="3380" t="s">
        <v>3143</v>
      </c>
      <c r="M8" s="3380">
        <v>37400</v>
      </c>
      <c r="N8" s="3380">
        <v>2944.69</v>
      </c>
      <c r="O8" s="3380">
        <v>8008.56</v>
      </c>
      <c r="P8" s="3380">
        <v>0</v>
      </c>
      <c r="Q8" s="3380" t="s">
        <v>3114</v>
      </c>
      <c r="R8" s="3380" t="s">
        <v>2794</v>
      </c>
      <c r="S8" s="3380" t="s">
        <v>3115</v>
      </c>
    </row>
    <row r="9" spans="1:20" hidden="1">
      <c r="A9" s="3377" t="s">
        <v>3144</v>
      </c>
      <c r="B9" s="3377" t="s">
        <v>3000</v>
      </c>
      <c r="C9" s="3377" t="s">
        <v>3108</v>
      </c>
      <c r="D9" s="3377" t="s">
        <v>3109</v>
      </c>
      <c r="E9" s="3377" t="s">
        <v>3145</v>
      </c>
      <c r="F9" s="3377" t="s">
        <v>3146</v>
      </c>
      <c r="G9" s="3377">
        <v>49088</v>
      </c>
      <c r="H9" s="3377">
        <v>207000</v>
      </c>
      <c r="I9" s="3377" t="s">
        <v>3147</v>
      </c>
      <c r="J9" s="3377" t="s">
        <v>2794</v>
      </c>
      <c r="K9" s="3377" t="s">
        <v>3148</v>
      </c>
      <c r="L9" s="3377" t="s">
        <v>3149</v>
      </c>
      <c r="M9" s="3377">
        <v>202860</v>
      </c>
      <c r="N9" s="3377">
        <v>2755.05</v>
      </c>
      <c r="O9" s="3377">
        <v>9800</v>
      </c>
      <c r="P9" s="3377">
        <v>0</v>
      </c>
      <c r="Q9" s="3377" t="s">
        <v>3114</v>
      </c>
      <c r="R9" s="3377" t="s">
        <v>2794</v>
      </c>
      <c r="S9" s="3377" t="s">
        <v>3115</v>
      </c>
    </row>
    <row r="10" spans="1:20" hidden="1">
      <c r="A10" s="3377" t="s">
        <v>3150</v>
      </c>
      <c r="B10" s="3377" t="s">
        <v>3000</v>
      </c>
      <c r="C10" s="3377" t="s">
        <v>3108</v>
      </c>
      <c r="D10" s="3377" t="s">
        <v>3109</v>
      </c>
      <c r="E10" s="3377" t="s">
        <v>3151</v>
      </c>
      <c r="F10" s="3377" t="s">
        <v>3152</v>
      </c>
      <c r="G10" s="3377">
        <v>54628</v>
      </c>
      <c r="H10" s="3377">
        <v>150227</v>
      </c>
      <c r="I10" s="3377" t="s">
        <v>3153</v>
      </c>
      <c r="J10" s="3377" t="s">
        <v>2794</v>
      </c>
      <c r="K10" s="3377" t="s">
        <v>3154</v>
      </c>
      <c r="L10" s="3377" t="s">
        <v>3119</v>
      </c>
      <c r="M10" s="3377">
        <v>181500</v>
      </c>
      <c r="N10" s="3377">
        <v>2214.98</v>
      </c>
      <c r="O10" s="3377">
        <v>12081.71</v>
      </c>
      <c r="P10" s="3377">
        <v>29.83</v>
      </c>
      <c r="Q10" s="3377" t="s">
        <v>3114</v>
      </c>
      <c r="R10" s="3377" t="s">
        <v>2794</v>
      </c>
      <c r="S10" s="3377" t="s">
        <v>3115</v>
      </c>
    </row>
    <row r="11" spans="1:20" hidden="1">
      <c r="A11" s="3377" t="s">
        <v>3155</v>
      </c>
      <c r="B11" s="3377" t="s">
        <v>3000</v>
      </c>
      <c r="C11" s="3377" t="s">
        <v>3108</v>
      </c>
      <c r="D11" s="3377" t="s">
        <v>3109</v>
      </c>
      <c r="E11" s="3377" t="s">
        <v>3156</v>
      </c>
      <c r="F11" s="3377" t="s">
        <v>3060</v>
      </c>
      <c r="G11" s="3377">
        <v>42061</v>
      </c>
      <c r="H11" s="3377">
        <v>147213.5</v>
      </c>
      <c r="I11" s="3377" t="s">
        <v>3157</v>
      </c>
      <c r="J11" s="3377" t="s">
        <v>2794</v>
      </c>
      <c r="K11" s="3377" t="s">
        <v>3158</v>
      </c>
      <c r="L11" s="3377" t="s">
        <v>3159</v>
      </c>
      <c r="M11" s="3377">
        <v>117713</v>
      </c>
      <c r="N11" s="3377">
        <v>1865.75</v>
      </c>
      <c r="O11" s="3377">
        <v>7996.06</v>
      </c>
      <c r="P11" s="3377">
        <v>0</v>
      </c>
      <c r="Q11" s="3377" t="s">
        <v>3114</v>
      </c>
      <c r="R11" s="3377" t="s">
        <v>2794</v>
      </c>
      <c r="S11" s="3377" t="s">
        <v>3115</v>
      </c>
    </row>
    <row r="12" spans="1:20" hidden="1">
      <c r="A12" s="3377" t="s">
        <v>3160</v>
      </c>
      <c r="B12" s="3377" t="s">
        <v>3000</v>
      </c>
      <c r="C12" s="3377" t="s">
        <v>3108</v>
      </c>
      <c r="D12" s="3377" t="s">
        <v>3109</v>
      </c>
      <c r="E12" s="3377" t="s">
        <v>3161</v>
      </c>
      <c r="F12" s="3377" t="s">
        <v>3121</v>
      </c>
      <c r="G12" s="3377">
        <v>5832</v>
      </c>
      <c r="H12" s="3377">
        <v>45489.599999999999</v>
      </c>
      <c r="I12" s="3377" t="s">
        <v>3162</v>
      </c>
      <c r="J12" s="3377" t="s">
        <v>2794</v>
      </c>
      <c r="K12" s="3377" t="s">
        <v>3163</v>
      </c>
      <c r="L12" s="3377" t="s">
        <v>3164</v>
      </c>
      <c r="M12" s="3377">
        <v>25480</v>
      </c>
      <c r="N12" s="3377">
        <v>2912.67</v>
      </c>
      <c r="O12" s="3377">
        <v>5601.27</v>
      </c>
      <c r="P12" s="3377">
        <v>0</v>
      </c>
      <c r="Q12" s="3377" t="s">
        <v>3114</v>
      </c>
      <c r="R12" s="3377" t="s">
        <v>2794</v>
      </c>
      <c r="S12" s="3377" t="s">
        <v>3115</v>
      </c>
    </row>
    <row r="13" spans="1:20" hidden="1">
      <c r="A13" s="3377" t="s">
        <v>3165</v>
      </c>
      <c r="B13" s="3377" t="s">
        <v>3000</v>
      </c>
      <c r="C13" s="3377" t="s">
        <v>3108</v>
      </c>
      <c r="D13" s="3377" t="s">
        <v>3109</v>
      </c>
      <c r="E13" s="3377" t="s">
        <v>3166</v>
      </c>
      <c r="F13" s="3377" t="s">
        <v>3121</v>
      </c>
      <c r="G13" s="3377">
        <v>24024</v>
      </c>
      <c r="H13" s="3377">
        <v>97777.68</v>
      </c>
      <c r="I13" s="3377">
        <v>4.07</v>
      </c>
      <c r="J13" s="3377" t="s">
        <v>2794</v>
      </c>
      <c r="K13" s="3377" t="s">
        <v>3167</v>
      </c>
      <c r="L13" s="3377" t="s">
        <v>3168</v>
      </c>
      <c r="M13" s="3377">
        <v>101000</v>
      </c>
      <c r="N13" s="3377">
        <v>2802.75</v>
      </c>
      <c r="O13" s="3377">
        <v>10329.549999999999</v>
      </c>
      <c r="P13" s="3377">
        <v>30.63</v>
      </c>
      <c r="Q13" s="3377" t="s">
        <v>3114</v>
      </c>
      <c r="R13" s="3377" t="s">
        <v>2794</v>
      </c>
      <c r="S13" s="3377" t="s">
        <v>3115</v>
      </c>
    </row>
    <row r="14" spans="1:20" hidden="1">
      <c r="A14" s="3377" t="s">
        <v>3169</v>
      </c>
      <c r="B14" s="3377" t="s">
        <v>3000</v>
      </c>
      <c r="C14" s="3377" t="s">
        <v>3108</v>
      </c>
      <c r="D14" s="3377" t="s">
        <v>3170</v>
      </c>
      <c r="E14" s="3377" t="s">
        <v>3171</v>
      </c>
      <c r="F14" s="3377" t="s">
        <v>3060</v>
      </c>
      <c r="G14" s="3377">
        <v>13600</v>
      </c>
      <c r="H14" s="3377">
        <v>92344</v>
      </c>
      <c r="I14" s="3377">
        <v>6.79</v>
      </c>
      <c r="J14" s="3377" t="s">
        <v>2794</v>
      </c>
      <c r="K14" s="3377" t="s">
        <v>3172</v>
      </c>
      <c r="L14" s="3377" t="s">
        <v>3173</v>
      </c>
      <c r="M14" s="3377">
        <v>74200</v>
      </c>
      <c r="N14" s="3377">
        <v>3637.25</v>
      </c>
      <c r="O14" s="3377">
        <v>8035.17</v>
      </c>
      <c r="P14" s="3377" t="s">
        <v>2794</v>
      </c>
      <c r="Q14" s="3377" t="s">
        <v>3114</v>
      </c>
      <c r="R14" s="3377" t="s">
        <v>2794</v>
      </c>
      <c r="S14" s="3377" t="s">
        <v>3115</v>
      </c>
    </row>
    <row r="15" spans="1:20" hidden="1">
      <c r="A15" s="3377" t="s">
        <v>3174</v>
      </c>
      <c r="B15" s="3377" t="s">
        <v>3000</v>
      </c>
      <c r="C15" s="3377" t="s">
        <v>3108</v>
      </c>
      <c r="D15" s="3377" t="s">
        <v>3109</v>
      </c>
      <c r="E15" s="3377" t="s">
        <v>3175</v>
      </c>
      <c r="F15" s="3377" t="s">
        <v>3121</v>
      </c>
      <c r="G15" s="3377">
        <v>20003</v>
      </c>
      <c r="H15" s="3377">
        <v>119617.9</v>
      </c>
      <c r="I15" s="3377">
        <v>5.98</v>
      </c>
      <c r="J15" s="3377" t="s">
        <v>2794</v>
      </c>
      <c r="K15" s="3377" t="s">
        <v>3172</v>
      </c>
      <c r="L15" s="3377" t="s">
        <v>3176</v>
      </c>
      <c r="M15" s="3377">
        <v>64590</v>
      </c>
      <c r="N15" s="3377">
        <v>2152.6799999999998</v>
      </c>
      <c r="O15" s="3377">
        <v>5399.68</v>
      </c>
      <c r="P15" s="3377">
        <v>0</v>
      </c>
      <c r="Q15" s="3377" t="s">
        <v>3114</v>
      </c>
      <c r="R15" s="3377" t="s">
        <v>2794</v>
      </c>
      <c r="S15" s="3377" t="s">
        <v>3115</v>
      </c>
    </row>
    <row r="16" spans="1:20" hidden="1">
      <c r="A16" s="3377" t="s">
        <v>3177</v>
      </c>
      <c r="B16" s="3377" t="s">
        <v>3000</v>
      </c>
      <c r="C16" s="3377" t="s">
        <v>3108</v>
      </c>
      <c r="D16" s="3377" t="s">
        <v>3109</v>
      </c>
      <c r="E16" s="3377" t="s">
        <v>3178</v>
      </c>
      <c r="F16" s="3377" t="s">
        <v>3121</v>
      </c>
      <c r="G16" s="3377">
        <v>94600</v>
      </c>
      <c r="H16" s="3377">
        <v>480100</v>
      </c>
      <c r="I16" s="3377">
        <v>5.08</v>
      </c>
      <c r="J16" s="3377" t="s">
        <v>2794</v>
      </c>
      <c r="K16" s="3377" t="s">
        <v>3179</v>
      </c>
      <c r="L16" s="3377" t="s">
        <v>3180</v>
      </c>
      <c r="M16" s="3377">
        <v>384230</v>
      </c>
      <c r="N16" s="3377">
        <v>2707.75</v>
      </c>
      <c r="O16" s="3377">
        <v>8003.11</v>
      </c>
      <c r="P16" s="3377">
        <v>0</v>
      </c>
      <c r="Q16" s="3377" t="s">
        <v>3114</v>
      </c>
      <c r="R16" s="3377" t="s">
        <v>2794</v>
      </c>
      <c r="S16" s="3377" t="s">
        <v>3115</v>
      </c>
    </row>
    <row r="17" spans="1:19" hidden="1">
      <c r="A17" s="3377" t="s">
        <v>3181</v>
      </c>
      <c r="B17" s="3377" t="s">
        <v>3000</v>
      </c>
      <c r="C17" s="3377" t="s">
        <v>3108</v>
      </c>
      <c r="D17" s="3377" t="s">
        <v>3170</v>
      </c>
      <c r="E17" s="3377" t="s">
        <v>3182</v>
      </c>
      <c r="F17" s="3377" t="s">
        <v>3183</v>
      </c>
      <c r="G17" s="3377">
        <v>7460</v>
      </c>
      <c r="H17" s="3377">
        <v>51623.199999999997</v>
      </c>
      <c r="I17" s="3377">
        <v>6.92</v>
      </c>
      <c r="J17" s="3377" t="s">
        <v>2794</v>
      </c>
      <c r="K17" s="3377" t="s">
        <v>3184</v>
      </c>
      <c r="L17" s="3377" t="s">
        <v>3185</v>
      </c>
      <c r="M17" s="3377">
        <v>31280</v>
      </c>
      <c r="N17" s="3377">
        <v>2795.35</v>
      </c>
      <c r="O17" s="3377">
        <v>6059.28</v>
      </c>
      <c r="P17" s="3377" t="s">
        <v>2794</v>
      </c>
      <c r="Q17" s="3377" t="s">
        <v>3186</v>
      </c>
      <c r="R17" s="3377" t="s">
        <v>2794</v>
      </c>
      <c r="S17" s="3377" t="s">
        <v>3115</v>
      </c>
    </row>
    <row r="18" spans="1:19" hidden="1">
      <c r="A18" s="3377" t="s">
        <v>3187</v>
      </c>
      <c r="B18" s="3377" t="s">
        <v>3000</v>
      </c>
      <c r="C18" s="3377" t="s">
        <v>3108</v>
      </c>
      <c r="D18" s="3377" t="s">
        <v>3109</v>
      </c>
      <c r="E18" s="3377" t="s">
        <v>3188</v>
      </c>
      <c r="F18" s="3377" t="s">
        <v>3183</v>
      </c>
      <c r="G18" s="3377">
        <v>10900</v>
      </c>
      <c r="H18" s="3377">
        <v>42832</v>
      </c>
      <c r="I18" s="3377">
        <v>3.9</v>
      </c>
      <c r="J18" s="3377" t="s">
        <v>2794</v>
      </c>
      <c r="K18" s="3377" t="s">
        <v>3189</v>
      </c>
      <c r="L18" s="3377" t="s">
        <v>3190</v>
      </c>
      <c r="M18" s="3377">
        <v>43050</v>
      </c>
      <c r="N18" s="3377">
        <v>2633.03</v>
      </c>
      <c r="O18" s="3377">
        <v>10050.89</v>
      </c>
      <c r="P18" s="3377">
        <v>54.58</v>
      </c>
      <c r="Q18" s="3377" t="s">
        <v>3186</v>
      </c>
      <c r="R18" s="3377" t="s">
        <v>2794</v>
      </c>
      <c r="S18" s="3377" t="s">
        <v>3115</v>
      </c>
    </row>
    <row r="19" spans="1:19" hidden="1">
      <c r="A19" s="3377" t="s">
        <v>3191</v>
      </c>
      <c r="B19" s="3377" t="s">
        <v>3000</v>
      </c>
      <c r="C19" s="3377" t="s">
        <v>3108</v>
      </c>
      <c r="D19" s="3377" t="s">
        <v>3109</v>
      </c>
      <c r="E19" s="3377" t="s">
        <v>3192</v>
      </c>
      <c r="F19" s="3377" t="s">
        <v>3193</v>
      </c>
      <c r="G19" s="3377">
        <v>7355</v>
      </c>
      <c r="H19" s="3377">
        <v>39800</v>
      </c>
      <c r="I19" s="3377">
        <v>5.4</v>
      </c>
      <c r="J19" s="3377" t="s">
        <v>2794</v>
      </c>
      <c r="K19" s="3377" t="s">
        <v>3194</v>
      </c>
      <c r="L19" s="3377" t="s">
        <v>3195</v>
      </c>
      <c r="M19" s="3377">
        <v>31050</v>
      </c>
      <c r="N19" s="3377">
        <v>2814.41</v>
      </c>
      <c r="O19" s="3377">
        <v>7801.51</v>
      </c>
      <c r="P19" s="3377">
        <v>0</v>
      </c>
      <c r="Q19" s="3377" t="s">
        <v>3186</v>
      </c>
      <c r="R19" s="3377" t="s">
        <v>2794</v>
      </c>
      <c r="S19" s="3377" t="s">
        <v>3115</v>
      </c>
    </row>
    <row r="20" spans="1:19" s="3378" customFormat="1" hidden="1">
      <c r="A20" s="3378" t="s">
        <v>3046</v>
      </c>
      <c r="B20" s="3378" t="s">
        <v>3000</v>
      </c>
      <c r="C20" s="3378" t="s">
        <v>3108</v>
      </c>
      <c r="D20" s="3378" t="s">
        <v>3109</v>
      </c>
      <c r="E20" s="3378" t="s">
        <v>3196</v>
      </c>
      <c r="F20" s="3378" t="s">
        <v>3183</v>
      </c>
      <c r="G20" s="3378">
        <v>19712</v>
      </c>
      <c r="H20" s="3378">
        <v>138000</v>
      </c>
      <c r="I20" s="3378">
        <v>7</v>
      </c>
      <c r="J20" s="3378" t="s">
        <v>2794</v>
      </c>
      <c r="K20" s="3378" t="s">
        <v>3197</v>
      </c>
      <c r="L20" s="3378" t="s">
        <v>3198</v>
      </c>
      <c r="M20" s="3378">
        <v>89700</v>
      </c>
      <c r="N20" s="3378">
        <v>3033.69</v>
      </c>
      <c r="O20" s="3378">
        <v>6500</v>
      </c>
      <c r="P20" s="3378">
        <v>0</v>
      </c>
      <c r="Q20" s="3378" t="s">
        <v>3186</v>
      </c>
      <c r="R20" s="3378" t="s">
        <v>2794</v>
      </c>
      <c r="S20" s="3378" t="s">
        <v>3115</v>
      </c>
    </row>
    <row r="21" spans="1:19" hidden="1">
      <c r="A21" s="3377" t="s">
        <v>3199</v>
      </c>
      <c r="B21" s="3377" t="s">
        <v>3000</v>
      </c>
      <c r="C21" s="3377" t="s">
        <v>3108</v>
      </c>
      <c r="D21" s="3377" t="s">
        <v>3109</v>
      </c>
      <c r="E21" s="3377" t="s">
        <v>3200</v>
      </c>
      <c r="F21" s="3377" t="s">
        <v>3183</v>
      </c>
      <c r="G21" s="3377">
        <v>10925</v>
      </c>
      <c r="H21" s="3377">
        <v>99963.75</v>
      </c>
      <c r="I21" s="3377">
        <v>9.15</v>
      </c>
      <c r="J21" s="3377" t="s">
        <v>2794</v>
      </c>
      <c r="K21" s="3377" t="s">
        <v>3201</v>
      </c>
      <c r="L21" s="3377" t="s">
        <v>3202</v>
      </c>
      <c r="M21" s="3377">
        <v>43100</v>
      </c>
      <c r="N21" s="3377">
        <v>2630.05</v>
      </c>
      <c r="O21" s="3377">
        <v>4311.5600000000004</v>
      </c>
      <c r="P21" s="3377" t="s">
        <v>2794</v>
      </c>
      <c r="Q21" s="3377" t="s">
        <v>3186</v>
      </c>
      <c r="R21" s="3377" t="s">
        <v>2794</v>
      </c>
      <c r="S21" s="3377" t="s">
        <v>3115</v>
      </c>
    </row>
    <row r="22" spans="1:19" hidden="1">
      <c r="A22" s="3377" t="s">
        <v>3203</v>
      </c>
      <c r="B22" s="3377" t="s">
        <v>3000</v>
      </c>
      <c r="C22" s="3377" t="s">
        <v>3108</v>
      </c>
      <c r="D22" s="3377" t="s">
        <v>3109</v>
      </c>
      <c r="E22" s="3377" t="s">
        <v>3204</v>
      </c>
      <c r="F22" s="3377" t="s">
        <v>3183</v>
      </c>
      <c r="G22" s="3377">
        <v>15000</v>
      </c>
      <c r="H22" s="3377">
        <v>90000</v>
      </c>
      <c r="I22" s="3377">
        <v>6</v>
      </c>
      <c r="J22" s="3377" t="s">
        <v>2794</v>
      </c>
      <c r="K22" s="3377" t="s">
        <v>3205</v>
      </c>
      <c r="L22" s="3377" t="s">
        <v>3206</v>
      </c>
      <c r="M22" s="3377">
        <v>49500</v>
      </c>
      <c r="N22" s="3377">
        <v>2200</v>
      </c>
      <c r="O22" s="3377">
        <v>5500</v>
      </c>
      <c r="P22" s="3377">
        <v>0</v>
      </c>
      <c r="Q22" s="3377" t="s">
        <v>3186</v>
      </c>
      <c r="R22" s="3377" t="s">
        <v>2794</v>
      </c>
      <c r="S22" s="3377" t="s">
        <v>3115</v>
      </c>
    </row>
    <row r="25" spans="1:19" ht="13.5">
      <c r="A25" s="3379" t="s">
        <v>3207</v>
      </c>
      <c r="E25" s="3379" t="s">
        <v>3230</v>
      </c>
    </row>
    <row r="59" spans="1:1" ht="13.5">
      <c r="A59" s="3379" t="s">
        <v>3495</v>
      </c>
    </row>
  </sheetData>
  <phoneticPr fontId="228" type="noConversion"/>
  <hyperlinks>
    <hyperlink ref="A25" r:id="rId1" xr:uid="{00000000-0004-0000-1F00-000000000000}"/>
    <hyperlink ref="E25" r:id="rId2" xr:uid="{00000000-0004-0000-1F00-000001000000}"/>
    <hyperlink ref="A59" r:id="rId3" xr:uid="{00000000-0004-0000-1F00-000002000000}"/>
  </hyperlinks>
  <pageMargins left="0.75" right="0.75" top="1" bottom="1" header="0.5" footer="0.5"/>
  <pageSetup orientation="portrait" horizontalDpi="300" verticalDpi="300"/>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490"/>
  <sheetViews>
    <sheetView tabSelected="1" view="pageBreakPreview" topLeftCell="B1" zoomScaleNormal="80" zoomScaleSheetLayoutView="100" workbookViewId="0">
      <selection activeCell="E19" sqref="E19"/>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31" s="1921" customFormat="1" ht="18" customHeight="1">
      <c r="A2" s="1980" t="s">
        <v>461</v>
      </c>
      <c r="B2" s="1984">
        <f ca="1">C36</f>
        <v>136756</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31" s="1921" customFormat="1" ht="18" customHeight="1">
      <c r="A3" s="1985" t="s">
        <v>1674</v>
      </c>
      <c r="B3" s="1986">
        <f ca="1">ROUND(B2*10000/IF(B1="",'数据-汇总表'!E3,INDIRECT("'数据-取费表'!K"&amp;$K$1)),0)</f>
        <v>6939</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31" s="1921" customFormat="1" ht="18" customHeight="1">
      <c r="A4" s="420" t="s">
        <v>462</v>
      </c>
      <c r="B4" s="421">
        <f ca="1">ROUND(B2*10000/IF(B1="",'数据-汇总表'!D3,INDIRECT("'数据-取费表'!R"&amp;$K$1)),0)</f>
        <v>70264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1" customFormat="1" ht="18" customHeight="1" thickBot="1">
      <c r="A5" s="423"/>
      <c r="B5" s="424">
        <f ca="1">ROUND(B2/(IF(B1="",'数据-汇总表'!D3,INDIRECT("'数据-取费表'!R"&amp;$K$1))/666.67),0)</f>
        <v>4684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0" customFormat="1" ht="16.5" customHeight="1">
      <c r="A6" s="2542" t="s">
        <v>1832</v>
      </c>
      <c r="B6" s="2543"/>
      <c r="C6" s="2544">
        <f ca="1">SUM(C10:K10)</f>
        <v>321801</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30" t="s">
        <v>3220</v>
      </c>
      <c r="D7" s="430" t="s">
        <v>3222</v>
      </c>
      <c r="E7" s="430" t="s">
        <v>3001</v>
      </c>
      <c r="F7" s="430" t="s">
        <v>35</v>
      </c>
      <c r="G7" s="430"/>
      <c r="H7" s="430"/>
      <c r="I7" s="430"/>
      <c r="J7" s="430"/>
      <c r="K7" s="431"/>
      <c r="AA7" s="1991"/>
      <c r="AB7" s="1991"/>
      <c r="AC7" s="1991"/>
      <c r="AD7" s="1991"/>
      <c r="AE7" s="1991"/>
    </row>
    <row r="8" spans="1:31" s="1994" customFormat="1" ht="13.5" customHeight="1">
      <c r="A8" s="793" t="s">
        <v>1835</v>
      </c>
      <c r="B8" s="259" t="s">
        <v>466</v>
      </c>
      <c r="C8" s="2548">
        <f>'不动产比较法-办公'!B3</f>
        <v>22633</v>
      </c>
      <c r="D8" s="2548">
        <f>'不动产比较法-公寓'!B3</f>
        <v>23798</v>
      </c>
      <c r="E8" s="2548">
        <f ca="1">'不动产收益法-商业'!B3</f>
        <v>16845</v>
      </c>
      <c r="F8" s="2548">
        <f ca="1">'不动产收益法-车库'!B3</f>
        <v>1865</v>
      </c>
      <c r="G8" s="2548"/>
      <c r="H8" s="2548"/>
      <c r="I8" s="2548"/>
      <c r="J8" s="2548"/>
      <c r="K8" s="2549"/>
      <c r="AA8" s="1993"/>
      <c r="AB8" s="1993"/>
      <c r="AC8" s="1993"/>
      <c r="AD8" s="1993"/>
      <c r="AE8" s="1993"/>
    </row>
    <row r="9" spans="1:31" s="1994" customFormat="1" ht="13.5" customHeight="1">
      <c r="A9" s="793" t="s">
        <v>1836</v>
      </c>
      <c r="B9" s="259" t="s">
        <v>467</v>
      </c>
      <c r="C9" s="435">
        <f>SUMIF('数据-汇总表'!$C19:$C33,'剩余法-待开发'!C7,'数据-汇总表'!$E19:$E33)</f>
        <v>80592.510000000009</v>
      </c>
      <c r="D9" s="435">
        <f>SUMIF('数据-汇总表'!$C19:$C33,'剩余法-待开发'!D7,'数据-汇总表'!$E19:$E33)</f>
        <v>39694.82</v>
      </c>
      <c r="E9" s="435">
        <f>SUMIF('数据-汇总表'!$C19:$C33,'剩余法-待开发'!E7,'数据-汇总表'!$E19:$E33)</f>
        <v>22420</v>
      </c>
      <c r="F9" s="435">
        <f>SUMIF('数据-汇总表'!$C19:$C33,'剩余法-待开发'!F7,'数据-汇总表'!$E19:$E33)</f>
        <v>38416.43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3"/>
      <c r="AB9" s="1993"/>
      <c r="AC9" s="1993"/>
      <c r="AD9" s="1993"/>
      <c r="AE9" s="1993"/>
    </row>
    <row r="10" spans="1:31" s="1994" customFormat="1" ht="13.5" customHeight="1" thickBot="1">
      <c r="A10" s="2550" t="s">
        <v>1837</v>
      </c>
      <c r="B10" s="2536" t="s">
        <v>468</v>
      </c>
      <c r="C10" s="2739">
        <f>'不动产比较法-办公'!B2</f>
        <v>182405</v>
      </c>
      <c r="D10" s="2739">
        <f>'不动产比较法-公寓'!B2</f>
        <v>94466</v>
      </c>
      <c r="E10" s="2739">
        <f ca="1">'不动产收益法-商业'!B2</f>
        <v>37766</v>
      </c>
      <c r="F10" s="2551">
        <f ca="1">'不动产收益法-车库'!B2</f>
        <v>7164</v>
      </c>
      <c r="G10" s="2551"/>
      <c r="H10" s="2551"/>
      <c r="I10" s="2551"/>
      <c r="J10" s="2551"/>
      <c r="K10" s="2552"/>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1838</v>
      </c>
      <c r="B13" s="2557" t="s">
        <v>473</v>
      </c>
      <c r="C13" s="444">
        <f ca="1">IF(B1="",'数据-取费表'!P16,INDIRECT("'数据-取费表'!p"&amp;$K$1)+INDIRECT("'数据-取费表'!t"&amp;$K$1))</f>
        <v>74659</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3">
        <f ca="1">ROUND(C13*F14,0)</f>
        <v>2240</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3">
        <f ca="1">ROUND(D16*E16/10000,0)</f>
        <v>3942</v>
      </c>
      <c r="D16" s="2558">
        <f ca="1">IF(B1="",'数据-汇总表'!E3,INDIRECT("'数据-取费表'!K"&amp;$K$1)+INDIRECT("'数据-取费表'!S"&amp;$K$1))</f>
        <v>197089.87</v>
      </c>
      <c r="E16" s="53">
        <f>'数据-取费表'!B35</f>
        <v>200</v>
      </c>
      <c r="F16" s="2561"/>
      <c r="G16" s="2526"/>
      <c r="H16" s="2527"/>
      <c r="I16" s="2527"/>
      <c r="J16" s="2527"/>
      <c r="K16" s="2528"/>
      <c r="L16" s="1996">
        <f>(80592.51*4000+39694.82*4600+22420*3500+38416.43*3000+15966.11*3000)/10000</f>
        <v>74658.383199999997</v>
      </c>
      <c r="AA16" s="1995"/>
      <c r="AB16" s="1995"/>
      <c r="AC16" s="1995"/>
      <c r="AD16" s="1995"/>
      <c r="AE16" s="1995"/>
    </row>
    <row r="17" spans="1:26" s="1995" customFormat="1" ht="13.5" customHeight="1">
      <c r="A17" s="2556" t="s">
        <v>1842</v>
      </c>
      <c r="B17" s="2557" t="s">
        <v>479</v>
      </c>
      <c r="C17" s="2562">
        <f ca="1">ROUND(C13*F17,0)</f>
        <v>1120</v>
      </c>
      <c r="D17" s="469"/>
      <c r="E17" s="2562"/>
      <c r="F17" s="2563">
        <f>'数据-取费表'!B36</f>
        <v>1.4999999999999999E-2</v>
      </c>
      <c r="G17" s="259" t="s">
        <v>480</v>
      </c>
      <c r="H17" s="2529"/>
      <c r="I17" s="2529"/>
      <c r="J17" s="2529"/>
      <c r="K17" s="277"/>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81961</v>
      </c>
      <c r="D18" s="2567"/>
      <c r="E18" s="462"/>
      <c r="F18" s="462"/>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1971</v>
      </c>
      <c r="D19" s="2568">
        <f ca="1">D16</f>
        <v>197089.87</v>
      </c>
      <c r="E19" s="2522">
        <f>'数据-取费表'!B32</f>
        <v>100</v>
      </c>
      <c r="F19" s="462"/>
      <c r="G19" s="2526" t="s">
        <v>483</v>
      </c>
      <c r="H19" s="2527"/>
      <c r="I19" s="2531"/>
      <c r="J19" s="2531"/>
      <c r="K19" s="2532"/>
      <c r="L19" s="1996">
        <f>197089.87*200/10000</f>
        <v>3941.7973999999999</v>
      </c>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2365</v>
      </c>
      <c r="D20" s="2568"/>
      <c r="E20" s="2522"/>
      <c r="F20" s="2569"/>
      <c r="G20" s="2773"/>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3">
        <f ca="1">ROUND(D21*E21/10000,0)</f>
        <v>0</v>
      </c>
      <c r="D21" s="2558">
        <f ca="1">IF(B1="",'数据-汇总表'!E5,IF(INDIRECT("'数据-取费表'!c"&amp;$K$1)="住宅",INDIRECT("'数据-取费表'!k"&amp;$K$1),0))</f>
        <v>0</v>
      </c>
      <c r="E21" s="53">
        <f>'数据-取费表'!B27</f>
        <v>120</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3">
        <f ca="1">ROUND(D22*E22/10000,0)</f>
        <v>2365</v>
      </c>
      <c r="D22" s="2558">
        <f ca="1">IF(B1="",'数据-汇总表'!E6,IF(INDIRECT("'数据-取费表'!c"&amp;$K$1)="住宅",INDIRECT("'数据-取费表'!s"&amp;$K$1),INDIRECT("'数据-取费表'!k"&amp;$K$1)+INDIRECT("'数据-取费表'!s"&amp;$K$1)))</f>
        <v>197089.87</v>
      </c>
      <c r="E22" s="53">
        <f>'数据-取费表'!B28</f>
        <v>120</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5" t="s">
        <v>2810</v>
      </c>
      <c r="C23" s="2566">
        <f ca="1">ROUND((C18+C19+C20)*F23,0)</f>
        <v>1726</v>
      </c>
      <c r="D23" s="462"/>
      <c r="E23" s="462"/>
      <c r="F23" s="2570">
        <f>'数据-取费表'!B37</f>
        <v>0.02</v>
      </c>
      <c r="G23" s="2526" t="s">
        <v>2413</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1849</v>
      </c>
      <c r="B24" s="2745" t="s">
        <v>2813</v>
      </c>
      <c r="C24" s="2566">
        <f ca="1">ROUND(C6*F24,0)</f>
        <v>6436</v>
      </c>
      <c r="D24" s="469"/>
      <c r="E24" s="467"/>
      <c r="F24" s="2570">
        <f>'数据-取费表'!B38</f>
        <v>0.02</v>
      </c>
      <c r="G24" s="2535" t="s">
        <v>493</v>
      </c>
      <c r="H24" s="2529"/>
      <c r="I24" s="2529"/>
      <c r="J24" s="2529"/>
      <c r="K24" s="277"/>
      <c r="L24" s="3196"/>
      <c r="M24" s="3196"/>
      <c r="N24" s="3196"/>
      <c r="O24" s="1996"/>
      <c r="P24" s="1996"/>
      <c r="Q24" s="1996"/>
      <c r="R24" s="1996"/>
      <c r="S24" s="1996"/>
      <c r="T24" s="1996"/>
      <c r="U24" s="1996"/>
      <c r="V24" s="1996"/>
      <c r="W24" s="1996"/>
      <c r="X24" s="1996"/>
      <c r="Y24" s="1996"/>
      <c r="Z24" s="1996"/>
    </row>
    <row r="25" spans="1:26" s="1998" customFormat="1" ht="13.5" customHeight="1">
      <c r="A25" s="2564" t="s">
        <v>1850</v>
      </c>
      <c r="B25" s="2745" t="s">
        <v>2811</v>
      </c>
      <c r="C25" s="461">
        <f>ROUND(F25/(1+'数据-取费表'!C42),4)</f>
        <v>3.8600000000000002E-2</v>
      </c>
      <c r="D25" s="456" t="s">
        <v>2805</v>
      </c>
      <c r="E25" s="463"/>
      <c r="F25" s="2570">
        <f>IF(项目基本情况!B8="出让",0,'数据-取费表'!B48+'数据-取费表'!B49)</f>
        <v>4.0500000000000001E-2</v>
      </c>
      <c r="G25" s="2534" t="s">
        <v>2275</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1851</v>
      </c>
      <c r="B26" s="2746" t="s">
        <v>2812</v>
      </c>
      <c r="C26" s="2571">
        <f ca="1">C28</f>
        <v>6230</v>
      </c>
      <c r="D26" s="461">
        <f ca="1">C27</f>
        <v>0.14149999999999999</v>
      </c>
      <c r="E26" s="463" t="s">
        <v>489</v>
      </c>
      <c r="F26" s="465">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3" t="s">
        <v>1846</v>
      </c>
      <c r="B27" s="2572" t="s">
        <v>490</v>
      </c>
      <c r="C27" s="2573">
        <f ca="1">ROUND(IF('数据-取费表'!B22&lt;=1,(1+C25)*F26*'数据-取费表'!B24,(1+C25)*(POWER((1+F26),'数据-取费表'!B24)-1)),4)</f>
        <v>0.14149999999999999</v>
      </c>
      <c r="D27" s="466"/>
      <c r="E27" s="467"/>
      <c r="F27" s="468"/>
      <c r="G27" s="2421" t="str">
        <f>IF('数据-取费表'!B22&lt;=1,"（1+取得税费率/(1+5%)）×年利率×建设期","（1+取得税费率）/(1+5%)×((1+年利率)^建设期-1)")</f>
        <v>（1+取得税费率）/(1+5%)×((1+年利率)^建设期-1)</v>
      </c>
      <c r="H27" s="2529"/>
      <c r="I27" s="2529"/>
      <c r="J27" s="2529"/>
      <c r="K27" s="277"/>
      <c r="L27" s="3198"/>
      <c r="M27" s="3198"/>
      <c r="N27" s="3198"/>
      <c r="O27" s="3198"/>
      <c r="P27" s="3198"/>
      <c r="Q27" s="3198"/>
      <c r="R27" s="3198"/>
      <c r="S27" s="3198"/>
      <c r="T27" s="3198"/>
      <c r="U27" s="3198"/>
      <c r="V27" s="3198"/>
      <c r="W27" s="3198"/>
      <c r="X27" s="3198"/>
      <c r="Y27" s="3198"/>
      <c r="Z27" s="3198"/>
    </row>
    <row r="28" spans="1:26" s="1999" customFormat="1" ht="13.5" customHeight="1">
      <c r="A28" s="793" t="s">
        <v>1847</v>
      </c>
      <c r="B28" s="2572" t="s">
        <v>2814</v>
      </c>
      <c r="C28" s="2574">
        <f ca="1">ROUND(IF('数据-取费表'!B22&lt;=1,(C18+C19+C20+C23+C24)*F26*'数据-取费表'!B24/2,(C18+C19+C20+C23+C24)*(POWER((1+F26),'数据-取费表'!B24/2)-1)),0)</f>
        <v>6230</v>
      </c>
      <c r="D28" s="466"/>
      <c r="E28" s="467"/>
      <c r="F28" s="468"/>
      <c r="G28" s="2421" t="str">
        <f>IF('数据-取费表'!B22&lt;=1,"（1）-（4）项×年利率×建设期÷2","（1）-（4）项×((1+年利率)^(建设期÷2)-1)")</f>
        <v>（1）-（4）项×((1+年利率)^(建设期÷2)-1)</v>
      </c>
      <c r="H28" s="2529"/>
      <c r="I28" s="2529"/>
      <c r="J28" s="2529"/>
      <c r="K28" s="277"/>
      <c r="L28" s="3198"/>
      <c r="M28" s="3198"/>
      <c r="N28" s="3198"/>
      <c r="O28" s="3198"/>
      <c r="P28" s="3198"/>
      <c r="Q28" s="3198"/>
      <c r="R28" s="3198"/>
      <c r="S28" s="3198"/>
      <c r="T28" s="3198"/>
      <c r="U28" s="3198"/>
      <c r="V28" s="3198"/>
      <c r="W28" s="3198"/>
      <c r="X28" s="3198"/>
      <c r="Y28" s="3198"/>
      <c r="Z28" s="3198"/>
    </row>
    <row r="29" spans="1:26" s="1999" customFormat="1" ht="13.5" customHeight="1">
      <c r="A29" s="2575" t="s">
        <v>1852</v>
      </c>
      <c r="B29" s="2565" t="s">
        <v>491</v>
      </c>
      <c r="C29" s="2566">
        <f ca="1">ROUND(C6*F29/(1+'数据-取费表'!C42),0)</f>
        <v>17163</v>
      </c>
      <c r="D29" s="462"/>
      <c r="E29" s="462"/>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0" t="s">
        <v>1853</v>
      </c>
      <c r="B30" s="2576" t="s">
        <v>494</v>
      </c>
      <c r="C30" s="2571">
        <f ca="1">C31</f>
        <v>117852</v>
      </c>
      <c r="D30" s="471">
        <f ca="1">C32</f>
        <v>0.18010000000000001</v>
      </c>
      <c r="E30" s="463" t="s">
        <v>489</v>
      </c>
      <c r="F30" s="465"/>
      <c r="G30" s="2534" t="s">
        <v>2929</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3" t="s">
        <v>1846</v>
      </c>
      <c r="B31" s="2572"/>
      <c r="C31" s="444">
        <f ca="1">C18+C19+C20+C23+C24+C26+C29</f>
        <v>117852</v>
      </c>
      <c r="D31" s="466"/>
      <c r="E31" s="467"/>
      <c r="F31" s="468"/>
      <c r="G31" s="259"/>
      <c r="H31" s="2529"/>
      <c r="I31" s="2529"/>
      <c r="J31" s="2529"/>
      <c r="K31" s="277"/>
      <c r="L31" s="3198"/>
      <c r="M31" s="3198"/>
      <c r="N31" s="3198"/>
      <c r="O31" s="3198"/>
      <c r="P31" s="3198"/>
      <c r="Q31" s="3198"/>
      <c r="R31" s="3198"/>
      <c r="S31" s="3198"/>
      <c r="T31" s="3198"/>
      <c r="U31" s="3198"/>
      <c r="V31" s="3198"/>
      <c r="W31" s="3198"/>
      <c r="X31" s="3198"/>
      <c r="Y31" s="3198"/>
      <c r="Z31" s="3198"/>
    </row>
    <row r="32" spans="1:26" s="1999" customFormat="1" ht="13.5" customHeight="1">
      <c r="A32" s="793" t="s">
        <v>1847</v>
      </c>
      <c r="B32" s="2572"/>
      <c r="C32" s="53">
        <f ca="1">ROUND(C25+D26,4)</f>
        <v>0.18010000000000001</v>
      </c>
      <c r="D32" s="466"/>
      <c r="E32" s="467"/>
      <c r="F32" s="468"/>
      <c r="G32" s="259"/>
      <c r="H32" s="2529"/>
      <c r="I32" s="2529"/>
      <c r="J32" s="2529"/>
      <c r="K32" s="277"/>
      <c r="L32" s="3198"/>
      <c r="M32" s="3198"/>
      <c r="N32" s="3198"/>
      <c r="O32" s="3198"/>
      <c r="P32" s="3198"/>
      <c r="Q32" s="3198"/>
      <c r="R32" s="3198"/>
      <c r="S32" s="3198"/>
      <c r="T32" s="3198"/>
      <c r="U32" s="3198"/>
      <c r="V32" s="3198"/>
      <c r="W32" s="3198"/>
      <c r="X32" s="3198"/>
      <c r="Y32" s="3198"/>
      <c r="Z32" s="3198"/>
    </row>
    <row r="33" spans="1:26" s="2001" customFormat="1" ht="13.5" customHeight="1">
      <c r="A33" s="2744" t="s">
        <v>2809</v>
      </c>
      <c r="B33" s="2742" t="s">
        <v>2807</v>
      </c>
      <c r="C33" s="472">
        <f ca="1">C35</f>
        <v>17003</v>
      </c>
      <c r="D33" s="461">
        <f ca="1">C34</f>
        <v>0.18690000000000001</v>
      </c>
      <c r="E33" s="463" t="s">
        <v>489</v>
      </c>
      <c r="F33" s="473">
        <f ca="1">IF(B1="",'数据-取费表'!Q16,INDIRECT("'数据-取费表'!q"&amp;$K$1))</f>
        <v>0.18</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9" t="s">
        <v>1846</v>
      </c>
      <c r="B34" s="2577" t="s">
        <v>495</v>
      </c>
      <c r="C34" s="466">
        <f ca="1">ROUND((1+C25)*F33,4)</f>
        <v>0.18690000000000001</v>
      </c>
      <c r="D34" s="466"/>
      <c r="E34" s="467"/>
      <c r="F34" s="474"/>
      <c r="G34" s="259" t="s">
        <v>2276</v>
      </c>
      <c r="H34" s="2529"/>
      <c r="I34" s="2529"/>
      <c r="J34" s="2529"/>
      <c r="K34" s="277"/>
      <c r="L34" s="3201"/>
      <c r="M34" s="3201"/>
      <c r="N34" s="3201"/>
      <c r="O34" s="3201"/>
      <c r="P34" s="3201"/>
      <c r="Q34" s="3201"/>
      <c r="R34" s="3201"/>
      <c r="S34" s="3201"/>
      <c r="T34" s="3201"/>
      <c r="U34" s="3201"/>
      <c r="V34" s="3201"/>
      <c r="W34" s="3201"/>
      <c r="X34" s="3201"/>
      <c r="Y34" s="3201"/>
      <c r="Z34" s="3201"/>
    </row>
    <row r="35" spans="1:26" s="2002" customFormat="1" ht="13.5" customHeight="1" thickBot="1">
      <c r="A35" s="1561" t="s">
        <v>1847</v>
      </c>
      <c r="B35" s="2743" t="s">
        <v>2815</v>
      </c>
      <c r="C35" s="1553">
        <f ca="1">ROUND((C18+C19+C20+C23+C24)*F33,0)</f>
        <v>17003</v>
      </c>
      <c r="D35" s="1554"/>
      <c r="E35" s="2578"/>
      <c r="F35" s="1555"/>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2" t="s">
        <v>1834</v>
      </c>
      <c r="B36" s="2540"/>
      <c r="C36" s="2579">
        <f ca="1">ROUND((C6-C30-C33)/(1+D30+D33),0)</f>
        <v>136756</v>
      </c>
      <c r="D36" s="2540"/>
      <c r="E36" s="2540"/>
      <c r="F36" s="2540"/>
      <c r="G36" s="2539" t="s">
        <v>2816</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853"/>
  <sheetViews>
    <sheetView view="pageBreakPreview" topLeftCell="B1" zoomScale="80" zoomScaleNormal="60" zoomScaleSheetLayoutView="80" workbookViewId="0">
      <selection activeCell="L23" sqref="L2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7.7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3220</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182405</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22633</v>
      </c>
      <c r="C3" s="841" t="s">
        <v>716</v>
      </c>
      <c r="D3" s="840">
        <f>SUMIF('数据-汇总表'!$C19:$C33,D1,'数据-汇总表'!$E19:$E33)</f>
        <v>80592.510000000009</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64" t="s">
        <v>516</v>
      </c>
      <c r="D4" s="3665"/>
      <c r="E4" s="3698" t="s">
        <v>517</v>
      </c>
      <c r="F4" s="3699"/>
      <c r="G4" s="3664" t="s">
        <v>518</v>
      </c>
      <c r="H4" s="3665"/>
      <c r="I4" s="3664" t="s">
        <v>519</v>
      </c>
      <c r="J4" s="3665"/>
      <c r="K4" s="508" t="s">
        <v>520</v>
      </c>
      <c r="L4" s="2012"/>
      <c r="M4" s="2013"/>
      <c r="N4" s="2013"/>
      <c r="O4" s="2013"/>
      <c r="P4" s="3756" t="s">
        <v>521</v>
      </c>
      <c r="Q4" s="3667"/>
      <c r="R4" s="3672" t="s">
        <v>517</v>
      </c>
      <c r="S4" s="3673"/>
      <c r="T4" s="3672" t="s">
        <v>518</v>
      </c>
      <c r="U4" s="3673"/>
      <c r="V4" s="3659" t="s">
        <v>519</v>
      </c>
      <c r="W4" s="3659"/>
      <c r="X4" s="1498"/>
      <c r="Y4" s="3672" t="s">
        <v>521</v>
      </c>
      <c r="Z4" s="3673"/>
      <c r="AA4" s="3661" t="s">
        <v>517</v>
      </c>
      <c r="AB4" s="3661" t="s">
        <v>518</v>
      </c>
      <c r="AC4" s="3661" t="s">
        <v>519</v>
      </c>
    </row>
    <row r="5" spans="1:29" ht="15">
      <c r="A5" s="509"/>
      <c r="B5" s="510"/>
      <c r="C5" s="3680" t="s">
        <v>2890</v>
      </c>
      <c r="D5" s="3681"/>
      <c r="E5" s="3762" t="s">
        <v>3489</v>
      </c>
      <c r="F5" s="3701"/>
      <c r="G5" s="3760" t="s">
        <v>3497</v>
      </c>
      <c r="H5" s="3681"/>
      <c r="I5" s="3760" t="s">
        <v>3445</v>
      </c>
      <c r="J5" s="3681"/>
      <c r="K5" s="508"/>
      <c r="L5" s="2012"/>
      <c r="M5" s="2013"/>
      <c r="N5" s="2013"/>
      <c r="O5" s="2013"/>
      <c r="P5" s="3757"/>
      <c r="Q5" s="3669"/>
      <c r="R5" s="3674"/>
      <c r="S5" s="3675"/>
      <c r="T5" s="3674"/>
      <c r="U5" s="3675"/>
      <c r="V5" s="3659"/>
      <c r="W5" s="3659"/>
      <c r="X5" s="1498"/>
      <c r="Y5" s="3674"/>
      <c r="Z5" s="3675"/>
      <c r="AA5" s="3662"/>
      <c r="AB5" s="3662"/>
      <c r="AC5" s="3662"/>
    </row>
    <row r="6" spans="1:29" ht="33" customHeight="1" thickBot="1">
      <c r="A6" s="511"/>
      <c r="B6" s="512"/>
      <c r="C6" s="3678" t="s">
        <v>2894</v>
      </c>
      <c r="D6" s="3679"/>
      <c r="E6" s="3761" t="s">
        <v>3448</v>
      </c>
      <c r="F6" s="3697"/>
      <c r="G6" s="3759" t="s">
        <v>3477</v>
      </c>
      <c r="H6" s="3679"/>
      <c r="I6" s="3759" t="s">
        <v>3446</v>
      </c>
      <c r="J6" s="3679"/>
      <c r="K6" s="508" t="s">
        <v>522</v>
      </c>
      <c r="L6" s="2012"/>
      <c r="M6" s="2013"/>
      <c r="N6" s="2013"/>
      <c r="O6" s="2013"/>
      <c r="P6" s="3758"/>
      <c r="Q6" s="3671"/>
      <c r="R6" s="3674"/>
      <c r="S6" s="3675"/>
      <c r="T6" s="3676"/>
      <c r="U6" s="3677"/>
      <c r="V6" s="3659"/>
      <c r="W6" s="3659"/>
      <c r="X6" s="1498"/>
      <c r="Y6" s="3676"/>
      <c r="Z6" s="3677"/>
      <c r="AA6" s="3663"/>
      <c r="AB6" s="3663"/>
      <c r="AC6" s="3663"/>
    </row>
    <row r="7" spans="1:29" s="1201" customFormat="1" ht="15.75" thickBot="1">
      <c r="A7" s="2626"/>
      <c r="B7" s="2633"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4"/>
      <c r="M7" s="2015"/>
      <c r="N7" s="2015"/>
      <c r="O7" s="2015"/>
      <c r="P7" s="3691" t="s">
        <v>524</v>
      </c>
      <c r="Q7" s="3691"/>
      <c r="R7" s="1499" t="s">
        <v>8</v>
      </c>
      <c r="S7" s="1500">
        <f t="shared" ref="S7:S15" si="0">F7</f>
        <v>100</v>
      </c>
      <c r="T7" s="1499" t="s">
        <v>8</v>
      </c>
      <c r="U7" s="1500">
        <f t="shared" ref="U7:U15" si="1">H7</f>
        <v>100</v>
      </c>
      <c r="V7" s="1499" t="s">
        <v>8</v>
      </c>
      <c r="W7" s="1500">
        <f t="shared" ref="W7:W15" si="2">J7</f>
        <v>100</v>
      </c>
      <c r="X7" s="1501"/>
      <c r="Y7" s="3689" t="s">
        <v>524</v>
      </c>
      <c r="Z7" s="3690"/>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91" t="s">
        <v>527</v>
      </c>
      <c r="Q8" s="3690"/>
      <c r="R8" s="1499" t="s">
        <v>8</v>
      </c>
      <c r="S8" s="1500">
        <f t="shared" si="0"/>
        <v>100</v>
      </c>
      <c r="T8" s="1499" t="s">
        <v>8</v>
      </c>
      <c r="U8" s="1500">
        <f t="shared" si="1"/>
        <v>100</v>
      </c>
      <c r="V8" s="1499" t="s">
        <v>8</v>
      </c>
      <c r="W8" s="1500">
        <f t="shared" si="2"/>
        <v>100</v>
      </c>
      <c r="X8" s="1501"/>
      <c r="Y8" s="3689" t="s">
        <v>527</v>
      </c>
      <c r="Z8" s="3690"/>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58" t="s">
        <v>529</v>
      </c>
      <c r="Q9" s="1132" t="str">
        <f t="shared" ref="Q9:Q15" si="6">B9</f>
        <v>用途</v>
      </c>
      <c r="R9" s="1499" t="s">
        <v>8</v>
      </c>
      <c r="S9" s="1500">
        <f t="shared" si="0"/>
        <v>100</v>
      </c>
      <c r="T9" s="1499" t="s">
        <v>8</v>
      </c>
      <c r="U9" s="1500">
        <f t="shared" si="1"/>
        <v>100</v>
      </c>
      <c r="V9" s="1499" t="s">
        <v>8</v>
      </c>
      <c r="W9" s="1500">
        <f t="shared" si="2"/>
        <v>100</v>
      </c>
      <c r="X9" s="1501"/>
      <c r="Y9" s="3604" t="s">
        <v>530</v>
      </c>
      <c r="Z9" s="1131"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v>4.87</v>
      </c>
      <c r="F11" s="253">
        <f>LOOKUP(E11,69:69,70:70)-LOOKUP(C11,69:69,70:70)+100</f>
        <v>100</v>
      </c>
      <c r="G11" s="528">
        <v>5.57</v>
      </c>
      <c r="H11" s="253">
        <f>LOOKUP(G11,69:69,70:70)-LOOKUP(C11,69:69,70:70)+100</f>
        <v>100</v>
      </c>
      <c r="I11" s="527">
        <v>5</v>
      </c>
      <c r="J11" s="253">
        <f>LOOKUP(I11,69:69,70:70)-LOOKUP(C11,69:69,70:70)+100</f>
        <v>100</v>
      </c>
      <c r="K11" s="578">
        <v>0</v>
      </c>
      <c r="L11" s="2019"/>
      <c r="M11" s="2013"/>
      <c r="N11" s="2013"/>
      <c r="O11" s="2013"/>
      <c r="P11" s="3658"/>
      <c r="Q11" s="1132" t="str">
        <f t="shared" si="6"/>
        <v>容积率</v>
      </c>
      <c r="R11" s="1499" t="s">
        <v>8</v>
      </c>
      <c r="S11" s="1500">
        <f t="shared" si="0"/>
        <v>100</v>
      </c>
      <c r="T11" s="1499" t="s">
        <v>8</v>
      </c>
      <c r="U11" s="1500">
        <f t="shared" si="1"/>
        <v>100</v>
      </c>
      <c r="V11" s="1499" t="s">
        <v>8</v>
      </c>
      <c r="W11" s="1500">
        <f t="shared" si="2"/>
        <v>100</v>
      </c>
      <c r="X11" s="1501"/>
      <c r="Y11" s="3604"/>
      <c r="Z11" s="1131" t="str">
        <f t="shared" si="7"/>
        <v>容积率</v>
      </c>
      <c r="AA11" s="1502">
        <f t="shared" si="3"/>
        <v>1</v>
      </c>
      <c r="AB11" s="1502">
        <f t="shared" si="4"/>
        <v>1</v>
      </c>
      <c r="AC11" s="1502">
        <f t="shared" si="5"/>
        <v>1</v>
      </c>
    </row>
    <row r="12" spans="1:29" s="1201" customFormat="1" ht="15" hidden="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58"/>
      <c r="Q12" s="1132">
        <f t="shared" si="6"/>
        <v>111</v>
      </c>
      <c r="R12" s="1499" t="s">
        <v>8</v>
      </c>
      <c r="S12" s="1500">
        <f t="shared" si="0"/>
        <v>100</v>
      </c>
      <c r="T12" s="1499" t="s">
        <v>8</v>
      </c>
      <c r="U12" s="1500">
        <f t="shared" si="1"/>
        <v>100</v>
      </c>
      <c r="V12" s="1499" t="s">
        <v>8</v>
      </c>
      <c r="W12" s="1500">
        <f t="shared" si="2"/>
        <v>100</v>
      </c>
      <c r="X12" s="1501"/>
      <c r="Y12" s="3604"/>
      <c r="Z12" s="1131">
        <f t="shared" si="7"/>
        <v>111</v>
      </c>
      <c r="AA12" s="1502">
        <f>D12/F12</f>
        <v>1</v>
      </c>
      <c r="AB12" s="1502">
        <f>D12/H12</f>
        <v>1</v>
      </c>
      <c r="AC12" s="1502">
        <f>D12/J12</f>
        <v>1</v>
      </c>
    </row>
    <row r="13" spans="1:29" ht="15" hidden="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58"/>
      <c r="Q13" s="1132">
        <f t="shared" si="6"/>
        <v>111</v>
      </c>
      <c r="R13" s="1499" t="s">
        <v>8</v>
      </c>
      <c r="S13" s="1500">
        <f t="shared" si="0"/>
        <v>100</v>
      </c>
      <c r="T13" s="1499" t="s">
        <v>8</v>
      </c>
      <c r="U13" s="1500">
        <f t="shared" si="1"/>
        <v>100</v>
      </c>
      <c r="V13" s="1499" t="s">
        <v>8</v>
      </c>
      <c r="W13" s="1500">
        <f t="shared" si="2"/>
        <v>100</v>
      </c>
      <c r="X13" s="1501"/>
      <c r="Y13" s="3604"/>
      <c r="Z13" s="1131">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58"/>
      <c r="Q14" s="1132">
        <f t="shared" si="6"/>
        <v>111</v>
      </c>
      <c r="R14" s="1499" t="s">
        <v>8</v>
      </c>
      <c r="S14" s="1500">
        <f t="shared" si="0"/>
        <v>100</v>
      </c>
      <c r="T14" s="1499" t="s">
        <v>8</v>
      </c>
      <c r="U14" s="1500">
        <f t="shared" si="1"/>
        <v>100</v>
      </c>
      <c r="V14" s="1499" t="s">
        <v>8</v>
      </c>
      <c r="W14" s="1500">
        <f t="shared" si="2"/>
        <v>100</v>
      </c>
      <c r="X14" s="1501"/>
      <c r="Y14" s="3604"/>
      <c r="Z14" s="1131">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92" t="s">
        <v>534</v>
      </c>
      <c r="Q15" s="1503" t="str">
        <f t="shared" si="6"/>
        <v>办公集聚程度</v>
      </c>
      <c r="R15" s="1504" t="s">
        <v>8</v>
      </c>
      <c r="S15" s="1505">
        <f t="shared" si="0"/>
        <v>100</v>
      </c>
      <c r="T15" s="1504" t="s">
        <v>8</v>
      </c>
      <c r="U15" s="1505">
        <f t="shared" si="1"/>
        <v>100</v>
      </c>
      <c r="V15" s="1504" t="s">
        <v>8</v>
      </c>
      <c r="W15" s="1505">
        <f t="shared" si="2"/>
        <v>100</v>
      </c>
      <c r="X15" s="1498"/>
      <c r="Y15" s="3692" t="s">
        <v>534</v>
      </c>
      <c r="Z15" s="1506" t="str">
        <f t="shared" si="7"/>
        <v>办公集聚程度</v>
      </c>
      <c r="AA15" s="1507">
        <f t="shared" si="3"/>
        <v>1</v>
      </c>
      <c r="AB15" s="1507">
        <f t="shared" si="4"/>
        <v>1</v>
      </c>
      <c r="AC15" s="1507">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93"/>
      <c r="Q16" s="1503"/>
      <c r="R16" s="1504"/>
      <c r="S16" s="1505"/>
      <c r="T16" s="1504"/>
      <c r="U16" s="1505"/>
      <c r="V16" s="1504"/>
      <c r="W16" s="1505"/>
      <c r="X16" s="1498"/>
      <c r="Y16" s="3693"/>
      <c r="Z16" s="1506"/>
      <c r="AA16" s="1507">
        <v>1</v>
      </c>
      <c r="AB16" s="1507">
        <v>1</v>
      </c>
      <c r="AC16" s="1507">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93"/>
      <c r="Q17" s="1503" t="str">
        <f>B17</f>
        <v>交通便捷度</v>
      </c>
      <c r="R17" s="1504" t="s">
        <v>8</v>
      </c>
      <c r="S17" s="1505">
        <f>F17</f>
        <v>100</v>
      </c>
      <c r="T17" s="1504" t="s">
        <v>8</v>
      </c>
      <c r="U17" s="1505">
        <f>H17</f>
        <v>100</v>
      </c>
      <c r="V17" s="1504" t="s">
        <v>8</v>
      </c>
      <c r="W17" s="1505">
        <f>J17</f>
        <v>100</v>
      </c>
      <c r="X17" s="1498"/>
      <c r="Y17" s="3693"/>
      <c r="Z17" s="1506" t="str">
        <f>Q17</f>
        <v>交通便捷度</v>
      </c>
      <c r="AA17" s="1507">
        <f t="shared" si="3"/>
        <v>1</v>
      </c>
      <c r="AB17" s="1507">
        <f t="shared" si="4"/>
        <v>1</v>
      </c>
      <c r="AC17" s="1507">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93"/>
      <c r="Q18" s="1503"/>
      <c r="R18" s="1504"/>
      <c r="S18" s="1505"/>
      <c r="T18" s="1504"/>
      <c r="U18" s="1505"/>
      <c r="V18" s="1504"/>
      <c r="W18" s="1505"/>
      <c r="X18" s="1498"/>
      <c r="Y18" s="3693"/>
      <c r="Z18" s="1506"/>
      <c r="AA18" s="1507">
        <v>1</v>
      </c>
      <c r="AB18" s="1507">
        <v>1</v>
      </c>
      <c r="AC18" s="1507">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42">
        <f>182405+94466+37746+7164</f>
        <v>321781</v>
      </c>
      <c r="M19" s="2013"/>
      <c r="N19" s="2013"/>
      <c r="O19" s="2013"/>
      <c r="P19" s="3693"/>
      <c r="Q19" s="1503" t="str">
        <f>B19</f>
        <v>公共配套设施</v>
      </c>
      <c r="R19" s="1504" t="s">
        <v>8</v>
      </c>
      <c r="S19" s="1505">
        <f>F19</f>
        <v>100</v>
      </c>
      <c r="T19" s="1504" t="s">
        <v>8</v>
      </c>
      <c r="U19" s="1505">
        <f>H19</f>
        <v>100</v>
      </c>
      <c r="V19" s="1504" t="s">
        <v>8</v>
      </c>
      <c r="W19" s="1505">
        <f>J19</f>
        <v>100</v>
      </c>
      <c r="X19" s="1498"/>
      <c r="Y19" s="3693"/>
      <c r="Z19" s="1506" t="str">
        <f>Q19</f>
        <v>公共配套设施</v>
      </c>
      <c r="AA19" s="1507">
        <f t="shared" si="3"/>
        <v>1</v>
      </c>
      <c r="AB19" s="1507">
        <f t="shared" si="4"/>
        <v>1</v>
      </c>
      <c r="AC19" s="1507">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93"/>
      <c r="Q20" s="1503"/>
      <c r="R20" s="1504"/>
      <c r="S20" s="1505"/>
      <c r="T20" s="1504"/>
      <c r="U20" s="1505"/>
      <c r="V20" s="1504"/>
      <c r="W20" s="1505"/>
      <c r="X20" s="1498"/>
      <c r="Y20" s="3693"/>
      <c r="Z20" s="1506"/>
      <c r="AA20" s="1507">
        <v>1</v>
      </c>
      <c r="AB20" s="1507">
        <v>1</v>
      </c>
      <c r="AC20" s="1507">
        <v>1</v>
      </c>
    </row>
    <row r="21" spans="1:29" ht="28.5">
      <c r="A21" s="526"/>
      <c r="B21" s="2432" t="s">
        <v>2537</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93"/>
      <c r="Q21" s="2426" t="str">
        <f>B21</f>
        <v>基础设施水平</v>
      </c>
      <c r="R21" s="1504" t="s">
        <v>8</v>
      </c>
      <c r="S21" s="1505">
        <f>F21</f>
        <v>100</v>
      </c>
      <c r="T21" s="1504" t="s">
        <v>8</v>
      </c>
      <c r="U21" s="1505">
        <f>H21</f>
        <v>100</v>
      </c>
      <c r="V21" s="1504" t="s">
        <v>8</v>
      </c>
      <c r="W21" s="1505">
        <f>J21</f>
        <v>100</v>
      </c>
      <c r="X21" s="2428"/>
      <c r="Y21" s="3693"/>
      <c r="Z21" s="2427" t="str">
        <f>Q21</f>
        <v>基础设施水平</v>
      </c>
      <c r="AA21" s="1507">
        <f t="shared" ref="AA21" si="8">D21/F21</f>
        <v>1</v>
      </c>
      <c r="AB21" s="1507">
        <f t="shared" ref="AB21" si="9">D21/H21</f>
        <v>1</v>
      </c>
      <c r="AC21" s="1507">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93"/>
      <c r="Q22" s="2426"/>
      <c r="R22" s="1504"/>
      <c r="S22" s="1505"/>
      <c r="T22" s="1504"/>
      <c r="U22" s="1505"/>
      <c r="V22" s="1504"/>
      <c r="W22" s="1505"/>
      <c r="X22" s="2428"/>
      <c r="Y22" s="3693"/>
      <c r="Z22" s="2427"/>
      <c r="AA22" s="1507">
        <v>1</v>
      </c>
      <c r="AB22" s="1507">
        <v>1</v>
      </c>
      <c r="AC22" s="1507">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93"/>
      <c r="Q23" s="1503" t="str">
        <f>B23</f>
        <v>环境质量</v>
      </c>
      <c r="R23" s="1504" t="s">
        <v>8</v>
      </c>
      <c r="S23" s="1505">
        <f>F23</f>
        <v>100</v>
      </c>
      <c r="T23" s="1504" t="s">
        <v>8</v>
      </c>
      <c r="U23" s="1505">
        <f>H23</f>
        <v>100</v>
      </c>
      <c r="V23" s="1504" t="s">
        <v>8</v>
      </c>
      <c r="W23" s="1505">
        <f>J23</f>
        <v>100</v>
      </c>
      <c r="X23" s="1498"/>
      <c r="Y23" s="3693"/>
      <c r="Z23" s="1506" t="str">
        <f>Q23</f>
        <v>环境质量</v>
      </c>
      <c r="AA23" s="1507">
        <f t="shared" si="3"/>
        <v>1</v>
      </c>
      <c r="AB23" s="1507">
        <f t="shared" si="4"/>
        <v>1</v>
      </c>
      <c r="AC23" s="1507">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93"/>
      <c r="Q24" s="1503"/>
      <c r="R24" s="1504"/>
      <c r="S24" s="1505"/>
      <c r="T24" s="1504"/>
      <c r="U24" s="1505"/>
      <c r="V24" s="1504"/>
      <c r="W24" s="1505"/>
      <c r="X24" s="1498"/>
      <c r="Y24" s="3693"/>
      <c r="Z24" s="1506"/>
      <c r="AA24" s="1507">
        <v>1</v>
      </c>
      <c r="AB24" s="1507">
        <v>1</v>
      </c>
      <c r="AC24" s="1507">
        <v>1</v>
      </c>
    </row>
    <row r="25" spans="1:29" ht="27" hidden="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93"/>
      <c r="Q25" s="1503" t="str">
        <f>B25</f>
        <v>毗邻道路的类型与等级</v>
      </c>
      <c r="R25" s="1504" t="s">
        <v>8</v>
      </c>
      <c r="S25" s="1505">
        <f>F25</f>
        <v>100</v>
      </c>
      <c r="T25" s="1504" t="s">
        <v>8</v>
      </c>
      <c r="U25" s="1505">
        <f>H25</f>
        <v>100</v>
      </c>
      <c r="V25" s="1504" t="s">
        <v>8</v>
      </c>
      <c r="W25" s="1505">
        <f>J25</f>
        <v>100</v>
      </c>
      <c r="X25" s="1498"/>
      <c r="Y25" s="3693"/>
      <c r="Z25" s="1506" t="str">
        <f>Q25</f>
        <v>毗邻道路的类型与等级</v>
      </c>
      <c r="AA25" s="1507">
        <f t="shared" si="3"/>
        <v>1</v>
      </c>
      <c r="AB25" s="1507">
        <f t="shared" si="4"/>
        <v>1</v>
      </c>
      <c r="AC25" s="1507">
        <f t="shared" si="5"/>
        <v>1</v>
      </c>
    </row>
    <row r="26" spans="1:29" ht="15" hidden="1">
      <c r="A26" s="509"/>
      <c r="B26" s="560"/>
      <c r="C26" s="574"/>
      <c r="D26" s="534"/>
      <c r="E26" s="577"/>
      <c r="F26" s="534"/>
      <c r="G26" s="574"/>
      <c r="H26" s="534"/>
      <c r="I26" s="577"/>
      <c r="J26" s="534"/>
      <c r="K26" s="888"/>
      <c r="L26" s="2021"/>
      <c r="M26" s="2013"/>
      <c r="N26" s="2013"/>
      <c r="O26" s="2013"/>
      <c r="P26" s="3693"/>
      <c r="Q26" s="1503"/>
      <c r="R26" s="1504"/>
      <c r="S26" s="1505"/>
      <c r="T26" s="1504"/>
      <c r="U26" s="1505"/>
      <c r="V26" s="1504"/>
      <c r="W26" s="1505"/>
      <c r="X26" s="1498"/>
      <c r="Y26" s="3693"/>
      <c r="Z26" s="1506"/>
      <c r="AA26" s="1507">
        <v>1</v>
      </c>
      <c r="AB26" s="1507">
        <v>1</v>
      </c>
      <c r="AC26" s="1507">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93"/>
      <c r="Q27" s="1503" t="str">
        <f t="shared" ref="Q27:Q47" si="11">B27</f>
        <v>楼层</v>
      </c>
      <c r="R27" s="1504" t="s">
        <v>8</v>
      </c>
      <c r="S27" s="1505">
        <f>F27</f>
        <v>100</v>
      </c>
      <c r="T27" s="1504" t="s">
        <v>8</v>
      </c>
      <c r="U27" s="1505">
        <f>H27</f>
        <v>100</v>
      </c>
      <c r="V27" s="1504" t="s">
        <v>8</v>
      </c>
      <c r="W27" s="1505">
        <f>J27</f>
        <v>100</v>
      </c>
      <c r="X27" s="1498"/>
      <c r="Y27" s="3693"/>
      <c r="Z27" s="1506" t="str">
        <f>Q27</f>
        <v>楼层</v>
      </c>
      <c r="AA27" s="1507">
        <f t="shared" si="3"/>
        <v>1</v>
      </c>
      <c r="AB27" s="1507">
        <f t="shared" si="4"/>
        <v>1</v>
      </c>
      <c r="AC27" s="1507">
        <f t="shared" si="5"/>
        <v>1</v>
      </c>
    </row>
    <row r="28" spans="1:29" s="1201" customFormat="1" ht="15" hidden="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93"/>
      <c r="Q28" s="1132" t="str">
        <f t="shared" si="11"/>
        <v>朝向</v>
      </c>
      <c r="R28" s="1499" t="s">
        <v>8</v>
      </c>
      <c r="S28" s="1500">
        <f>F28</f>
        <v>100</v>
      </c>
      <c r="T28" s="1499" t="s">
        <v>8</v>
      </c>
      <c r="U28" s="1500">
        <f>H28</f>
        <v>100</v>
      </c>
      <c r="V28" s="1499" t="s">
        <v>8</v>
      </c>
      <c r="W28" s="1500">
        <f>J28</f>
        <v>100</v>
      </c>
      <c r="X28" s="1501"/>
      <c r="Y28" s="3693"/>
      <c r="Z28" s="1131" t="str">
        <f>Q28</f>
        <v>朝向</v>
      </c>
      <c r="AA28" s="1507">
        <f>D28/F28</f>
        <v>1</v>
      </c>
      <c r="AB28" s="1507">
        <f>D28/H28</f>
        <v>1</v>
      </c>
      <c r="AC28" s="1507">
        <f>D28/J28</f>
        <v>1</v>
      </c>
    </row>
    <row r="29" spans="1:29" ht="15" hidden="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93"/>
      <c r="Q29" s="1503">
        <f t="shared" si="11"/>
        <v>111</v>
      </c>
      <c r="R29" s="1504" t="s">
        <v>8</v>
      </c>
      <c r="S29" s="1505">
        <f t="shared" ref="S29:S47" si="12">F29</f>
        <v>100</v>
      </c>
      <c r="T29" s="1504" t="s">
        <v>8</v>
      </c>
      <c r="U29" s="1505">
        <f t="shared" ref="U29:U47" si="13">H29</f>
        <v>100</v>
      </c>
      <c r="V29" s="1504" t="s">
        <v>8</v>
      </c>
      <c r="W29" s="1505">
        <f t="shared" ref="W29:W47" si="14">J29</f>
        <v>100</v>
      </c>
      <c r="X29" s="1498"/>
      <c r="Y29" s="3693"/>
      <c r="Z29" s="1506">
        <f t="shared" ref="Z29:Z47" si="15">Q29</f>
        <v>111</v>
      </c>
      <c r="AA29" s="1507">
        <f t="shared" si="3"/>
        <v>1</v>
      </c>
      <c r="AB29" s="1507">
        <f t="shared" si="4"/>
        <v>1</v>
      </c>
      <c r="AC29" s="1507">
        <f t="shared" si="5"/>
        <v>1</v>
      </c>
    </row>
    <row r="30" spans="1:29" ht="15" hidden="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93"/>
      <c r="Q30" s="1503">
        <f t="shared" si="11"/>
        <v>111</v>
      </c>
      <c r="R30" s="1504" t="s">
        <v>8</v>
      </c>
      <c r="S30" s="1505">
        <f t="shared" si="12"/>
        <v>100</v>
      </c>
      <c r="T30" s="1504" t="s">
        <v>8</v>
      </c>
      <c r="U30" s="1505">
        <f t="shared" si="13"/>
        <v>100</v>
      </c>
      <c r="V30" s="1504" t="s">
        <v>8</v>
      </c>
      <c r="W30" s="1505">
        <f t="shared" si="14"/>
        <v>100</v>
      </c>
      <c r="X30" s="1498"/>
      <c r="Y30" s="3693"/>
      <c r="Z30" s="1506">
        <f t="shared" si="15"/>
        <v>111</v>
      </c>
      <c r="AA30" s="1507">
        <f t="shared" si="3"/>
        <v>1</v>
      </c>
      <c r="AB30" s="1507">
        <f t="shared" si="4"/>
        <v>1</v>
      </c>
      <c r="AC30" s="1507">
        <f t="shared" si="5"/>
        <v>1</v>
      </c>
    </row>
    <row r="31" spans="1:29" ht="15" hidden="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93"/>
      <c r="Q31" s="1503">
        <f t="shared" si="11"/>
        <v>111</v>
      </c>
      <c r="R31" s="1504" t="s">
        <v>8</v>
      </c>
      <c r="S31" s="1505">
        <f t="shared" si="12"/>
        <v>100</v>
      </c>
      <c r="T31" s="1504" t="s">
        <v>8</v>
      </c>
      <c r="U31" s="1505">
        <f t="shared" si="13"/>
        <v>100</v>
      </c>
      <c r="V31" s="1504" t="s">
        <v>8</v>
      </c>
      <c r="W31" s="1505">
        <f t="shared" si="14"/>
        <v>100</v>
      </c>
      <c r="X31" s="1498"/>
      <c r="Y31" s="3693"/>
      <c r="Z31" s="1506">
        <f t="shared" si="15"/>
        <v>111</v>
      </c>
      <c r="AA31" s="1507">
        <f t="shared" si="3"/>
        <v>1</v>
      </c>
      <c r="AB31" s="1507">
        <f t="shared" si="4"/>
        <v>1</v>
      </c>
      <c r="AC31" s="1507">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93"/>
      <c r="Q32" s="1503">
        <f t="shared" si="11"/>
        <v>111</v>
      </c>
      <c r="R32" s="1504" t="s">
        <v>8</v>
      </c>
      <c r="S32" s="1505">
        <f t="shared" si="12"/>
        <v>100</v>
      </c>
      <c r="T32" s="1504" t="s">
        <v>8</v>
      </c>
      <c r="U32" s="1505">
        <f t="shared" si="13"/>
        <v>100</v>
      </c>
      <c r="V32" s="1504" t="s">
        <v>8</v>
      </c>
      <c r="W32" s="1505">
        <f t="shared" si="14"/>
        <v>100</v>
      </c>
      <c r="X32" s="1498"/>
      <c r="Y32" s="3693"/>
      <c r="Z32" s="1506">
        <f t="shared" si="15"/>
        <v>111</v>
      </c>
      <c r="AA32" s="1507">
        <f t="shared" si="3"/>
        <v>1</v>
      </c>
      <c r="AB32" s="1507">
        <f t="shared" si="4"/>
        <v>1</v>
      </c>
      <c r="AC32" s="1507">
        <f t="shared" si="5"/>
        <v>1</v>
      </c>
    </row>
    <row r="33" spans="1:29" ht="15">
      <c r="A33" s="2621" t="s">
        <v>2732</v>
      </c>
      <c r="B33" s="170" t="s">
        <v>774</v>
      </c>
      <c r="C33" s="904" t="s">
        <v>3443</v>
      </c>
      <c r="D33" s="591">
        <v>100</v>
      </c>
      <c r="E33" s="904" t="s">
        <v>3443</v>
      </c>
      <c r="F33" s="569">
        <f>SUMIF(101:101,E33,102:102)-SUMIF(101:101,C33,102:102)+100</f>
        <v>100</v>
      </c>
      <c r="G33" s="904" t="s">
        <v>3443</v>
      </c>
      <c r="H33" s="534">
        <f>SUMIF(101:101,G33,102:102)-SUMIF(101:101,C33,102:102)+100</f>
        <v>100</v>
      </c>
      <c r="I33" s="904" t="s">
        <v>3443</v>
      </c>
      <c r="J33" s="591">
        <f>SUMIF(101:101,I33,102:102)-SUMIF(101:101,C33,102:102)+100</f>
        <v>100</v>
      </c>
      <c r="K33" s="578">
        <v>2</v>
      </c>
      <c r="L33" s="2021"/>
      <c r="M33" s="2013"/>
      <c r="N33" s="2013"/>
      <c r="O33" s="2013"/>
      <c r="P33" s="3694" t="s">
        <v>544</v>
      </c>
      <c r="Q33" s="1503" t="str">
        <f t="shared" si="11"/>
        <v>建筑类型</v>
      </c>
      <c r="R33" s="1504" t="s">
        <v>8</v>
      </c>
      <c r="S33" s="1505">
        <f t="shared" si="12"/>
        <v>100</v>
      </c>
      <c r="T33" s="1504" t="s">
        <v>8</v>
      </c>
      <c r="U33" s="1505">
        <f t="shared" si="13"/>
        <v>100</v>
      </c>
      <c r="V33" s="1504" t="s">
        <v>8</v>
      </c>
      <c r="W33" s="1505">
        <f t="shared" si="14"/>
        <v>100</v>
      </c>
      <c r="X33" s="1498"/>
      <c r="Y33" s="3695" t="s">
        <v>544</v>
      </c>
      <c r="Z33" s="1506" t="str">
        <f t="shared" si="15"/>
        <v>建筑类型</v>
      </c>
      <c r="AA33" s="1507">
        <f t="shared" si="3"/>
        <v>1</v>
      </c>
      <c r="AB33" s="1507">
        <f t="shared" si="4"/>
        <v>1</v>
      </c>
      <c r="AC33" s="1507">
        <f t="shared" si="5"/>
        <v>1</v>
      </c>
    </row>
    <row r="34" spans="1:29" s="1291" customFormat="1" ht="15" hidden="1">
      <c r="A34" s="597"/>
      <c r="B34" s="521" t="s">
        <v>720</v>
      </c>
      <c r="C34" s="3393">
        <f>'数据-基础表'!I13</f>
        <v>80592.510000000009</v>
      </c>
      <c r="D34" s="253">
        <v>100</v>
      </c>
      <c r="E34" s="528">
        <v>960000</v>
      </c>
      <c r="F34" s="852">
        <f>LOOKUP(E34,104:104,105:105)-LOOKUP(C34,104:104,105:105)+100</f>
        <v>100</v>
      </c>
      <c r="G34" s="527">
        <v>338900</v>
      </c>
      <c r="H34" s="253">
        <f>LOOKUP(G34,104:104,105:105)-LOOKUP(C34,104:104,105:105)+100</f>
        <v>100</v>
      </c>
      <c r="I34" s="527">
        <v>110935</v>
      </c>
      <c r="J34" s="253">
        <f>LOOKUP(I34,104:104,105:105)-LOOKUP(C34,104:104,105:105)+100</f>
        <v>100</v>
      </c>
      <c r="K34" s="575"/>
      <c r="L34" s="2019"/>
      <c r="M34" s="2049"/>
      <c r="N34" s="2049"/>
      <c r="O34" s="2049"/>
      <c r="P34" s="3695"/>
      <c r="Q34" s="1532" t="str">
        <f t="shared" si="11"/>
        <v>项目建筑规模</v>
      </c>
      <c r="R34" s="1508" t="s">
        <v>8</v>
      </c>
      <c r="S34" s="1509">
        <f t="shared" si="12"/>
        <v>100</v>
      </c>
      <c r="T34" s="1508" t="s">
        <v>8</v>
      </c>
      <c r="U34" s="1509">
        <f t="shared" si="13"/>
        <v>100</v>
      </c>
      <c r="V34" s="1508" t="s">
        <v>8</v>
      </c>
      <c r="W34" s="1509">
        <f t="shared" si="14"/>
        <v>100</v>
      </c>
      <c r="X34" s="1510"/>
      <c r="Y34" s="3695"/>
      <c r="Z34" s="1511" t="str">
        <f t="shared" si="15"/>
        <v>项目建筑规模</v>
      </c>
      <c r="AA34" s="1507">
        <f t="shared" si="3"/>
        <v>1</v>
      </c>
      <c r="AB34" s="1507">
        <f t="shared" si="4"/>
        <v>1</v>
      </c>
      <c r="AC34" s="1507">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695"/>
      <c r="Q35" s="1503" t="str">
        <f t="shared" si="11"/>
        <v>建筑结构</v>
      </c>
      <c r="R35" s="1504" t="s">
        <v>8</v>
      </c>
      <c r="S35" s="1505">
        <f t="shared" si="12"/>
        <v>100</v>
      </c>
      <c r="T35" s="1504" t="s">
        <v>8</v>
      </c>
      <c r="U35" s="1505">
        <f t="shared" si="13"/>
        <v>100</v>
      </c>
      <c r="V35" s="1504" t="s">
        <v>8</v>
      </c>
      <c r="W35" s="1505">
        <f t="shared" si="14"/>
        <v>100</v>
      </c>
      <c r="X35" s="1498"/>
      <c r="Y35" s="3695"/>
      <c r="Z35" s="1506" t="str">
        <f t="shared" si="15"/>
        <v>建筑结构</v>
      </c>
      <c r="AA35" s="1507">
        <f t="shared" si="3"/>
        <v>1</v>
      </c>
      <c r="AB35" s="1507">
        <f t="shared" si="4"/>
        <v>1</v>
      </c>
      <c r="AC35" s="1507">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695"/>
      <c r="Q36" s="1503" t="str">
        <f t="shared" si="11"/>
        <v>公共部分装修</v>
      </c>
      <c r="R36" s="1504" t="s">
        <v>8</v>
      </c>
      <c r="S36" s="1505">
        <f t="shared" si="12"/>
        <v>100</v>
      </c>
      <c r="T36" s="1504" t="s">
        <v>8</v>
      </c>
      <c r="U36" s="1505">
        <f t="shared" si="13"/>
        <v>100</v>
      </c>
      <c r="V36" s="1504" t="s">
        <v>8</v>
      </c>
      <c r="W36" s="1505">
        <f t="shared" si="14"/>
        <v>100</v>
      </c>
      <c r="X36" s="1498"/>
      <c r="Y36" s="3695"/>
      <c r="Z36" s="1506" t="str">
        <f t="shared" si="15"/>
        <v>公共部分装修</v>
      </c>
      <c r="AA36" s="1507">
        <f t="shared" si="3"/>
        <v>1</v>
      </c>
      <c r="AB36" s="1507">
        <f t="shared" si="4"/>
        <v>1</v>
      </c>
      <c r="AC36" s="1507">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695"/>
      <c r="Q37" s="1503" t="str">
        <f t="shared" si="11"/>
        <v>成新度</v>
      </c>
      <c r="R37" s="1504" t="s">
        <v>8</v>
      </c>
      <c r="S37" s="1505">
        <f t="shared" si="12"/>
        <v>100</v>
      </c>
      <c r="T37" s="1504" t="s">
        <v>8</v>
      </c>
      <c r="U37" s="1505">
        <f t="shared" si="13"/>
        <v>100</v>
      </c>
      <c r="V37" s="1504" t="s">
        <v>8</v>
      </c>
      <c r="W37" s="1505">
        <f t="shared" si="14"/>
        <v>100</v>
      </c>
      <c r="X37" s="1498"/>
      <c r="Y37" s="3695"/>
      <c r="Z37" s="1506" t="str">
        <f t="shared" si="15"/>
        <v>成新度</v>
      </c>
      <c r="AA37" s="1507">
        <f t="shared" si="3"/>
        <v>1</v>
      </c>
      <c r="AB37" s="1507">
        <f t="shared" si="4"/>
        <v>1</v>
      </c>
      <c r="AC37" s="1507">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695"/>
      <c r="Q38" s="1132" t="str">
        <f t="shared" si="11"/>
        <v>写字楼等级</v>
      </c>
      <c r="R38" s="1499" t="s">
        <v>8</v>
      </c>
      <c r="S38" s="1500">
        <f t="shared" si="12"/>
        <v>100</v>
      </c>
      <c r="T38" s="1499" t="s">
        <v>8</v>
      </c>
      <c r="U38" s="1500">
        <f t="shared" si="13"/>
        <v>100</v>
      </c>
      <c r="V38" s="1499" t="s">
        <v>8</v>
      </c>
      <c r="W38" s="1500">
        <f t="shared" si="14"/>
        <v>100</v>
      </c>
      <c r="X38" s="1501"/>
      <c r="Y38" s="3695"/>
      <c r="Z38" s="1131"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695" t="s">
        <v>544</v>
      </c>
      <c r="Q39" s="1503" t="str">
        <f t="shared" si="11"/>
        <v>物业管理</v>
      </c>
      <c r="R39" s="1504" t="s">
        <v>8</v>
      </c>
      <c r="S39" s="1505">
        <f t="shared" si="12"/>
        <v>100</v>
      </c>
      <c r="T39" s="1504" t="s">
        <v>8</v>
      </c>
      <c r="U39" s="1505">
        <f t="shared" si="13"/>
        <v>100</v>
      </c>
      <c r="V39" s="1504" t="s">
        <v>8</v>
      </c>
      <c r="W39" s="1505">
        <f t="shared" si="14"/>
        <v>100</v>
      </c>
      <c r="X39" s="1498"/>
      <c r="Y39" s="3695" t="s">
        <v>544</v>
      </c>
      <c r="Z39" s="1506" t="str">
        <f t="shared" si="15"/>
        <v>物业管理</v>
      </c>
      <c r="AA39" s="1507">
        <f t="shared" si="3"/>
        <v>1</v>
      </c>
      <c r="AB39" s="1507">
        <f t="shared" si="4"/>
        <v>1</v>
      </c>
      <c r="AC39" s="1507">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695"/>
      <c r="Q40" s="1503" t="str">
        <f t="shared" si="11"/>
        <v>市政基础设施</v>
      </c>
      <c r="R40" s="1504" t="s">
        <v>8</v>
      </c>
      <c r="S40" s="1505">
        <f t="shared" si="12"/>
        <v>100</v>
      </c>
      <c r="T40" s="1504" t="s">
        <v>8</v>
      </c>
      <c r="U40" s="1505">
        <f t="shared" si="13"/>
        <v>100</v>
      </c>
      <c r="V40" s="1504" t="s">
        <v>8</v>
      </c>
      <c r="W40" s="1505">
        <f t="shared" si="14"/>
        <v>100</v>
      </c>
      <c r="X40" s="1498"/>
      <c r="Y40" s="3695"/>
      <c r="Z40" s="1506" t="str">
        <f t="shared" si="15"/>
        <v>市政基础设施</v>
      </c>
      <c r="AA40" s="1507">
        <f t="shared" si="3"/>
        <v>1</v>
      </c>
      <c r="AB40" s="1507">
        <f t="shared" si="4"/>
        <v>1</v>
      </c>
      <c r="AC40" s="1507">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695"/>
      <c r="Q41" s="1503" t="str">
        <f t="shared" si="11"/>
        <v>层高</v>
      </c>
      <c r="R41" s="1504" t="s">
        <v>8</v>
      </c>
      <c r="S41" s="1505">
        <f t="shared" si="12"/>
        <v>100</v>
      </c>
      <c r="T41" s="1504" t="s">
        <v>8</v>
      </c>
      <c r="U41" s="1505">
        <f t="shared" si="13"/>
        <v>100</v>
      </c>
      <c r="V41" s="1504" t="s">
        <v>8</v>
      </c>
      <c r="W41" s="1505">
        <f t="shared" si="14"/>
        <v>100</v>
      </c>
      <c r="X41" s="1498"/>
      <c r="Y41" s="3695"/>
      <c r="Z41" s="1506" t="str">
        <f t="shared" si="15"/>
        <v>层高</v>
      </c>
      <c r="AA41" s="1507">
        <f t="shared" si="3"/>
        <v>1</v>
      </c>
      <c r="AB41" s="1507">
        <f t="shared" si="4"/>
        <v>1</v>
      </c>
      <c r="AC41" s="1507">
        <f t="shared" si="5"/>
        <v>1</v>
      </c>
    </row>
    <row r="42" spans="1:29" s="1291" customFormat="1" ht="15" hidden="1">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695"/>
      <c r="Q42" s="1532" t="str">
        <f t="shared" si="11"/>
        <v>单套建筑面积</v>
      </c>
      <c r="R42" s="1508" t="s">
        <v>8</v>
      </c>
      <c r="S42" s="1509">
        <f t="shared" si="12"/>
        <v>100</v>
      </c>
      <c r="T42" s="1508" t="s">
        <v>8</v>
      </c>
      <c r="U42" s="1509">
        <f t="shared" si="13"/>
        <v>100</v>
      </c>
      <c r="V42" s="1508" t="s">
        <v>8</v>
      </c>
      <c r="W42" s="1509">
        <f t="shared" si="14"/>
        <v>100</v>
      </c>
      <c r="X42" s="1510"/>
      <c r="Y42" s="3695"/>
      <c r="Z42" s="1511" t="str">
        <f t="shared" si="15"/>
        <v>单套建筑面积</v>
      </c>
      <c r="AA42" s="1507">
        <f t="shared" si="3"/>
        <v>1</v>
      </c>
      <c r="AB42" s="1507">
        <f t="shared" si="4"/>
        <v>1</v>
      </c>
      <c r="AC42" s="1507">
        <f t="shared" si="5"/>
        <v>1</v>
      </c>
    </row>
    <row r="43" spans="1:29" ht="15">
      <c r="A43" s="588"/>
      <c r="B43" s="521" t="s">
        <v>764</v>
      </c>
      <c r="C43" s="568" t="s">
        <v>3083</v>
      </c>
      <c r="D43" s="534">
        <v>100</v>
      </c>
      <c r="E43" s="568" t="s">
        <v>3083</v>
      </c>
      <c r="F43" s="569">
        <f>SUMIF(123:123,E43,124:124)-SUMIF(123:123,C43,124:124)+100</f>
        <v>100</v>
      </c>
      <c r="G43" s="568" t="s">
        <v>3083</v>
      </c>
      <c r="H43" s="534">
        <f>SUMIF(123:123,G43,124:124)-SUMIF(123:123,C43,124:124)+100</f>
        <v>100</v>
      </c>
      <c r="I43" s="568" t="s">
        <v>3083</v>
      </c>
      <c r="J43" s="534">
        <f>SUMIF(123:123,I43,124:124)-SUMIF(123:123,C43,124:124)+100</f>
        <v>100</v>
      </c>
      <c r="K43" s="578">
        <v>2</v>
      </c>
      <c r="L43" s="2021"/>
      <c r="M43" s="2013"/>
      <c r="N43" s="2013"/>
      <c r="O43" s="2013"/>
      <c r="P43" s="3695"/>
      <c r="Q43" s="1503" t="str">
        <f t="shared" si="11"/>
        <v>内部装修</v>
      </c>
      <c r="R43" s="1504" t="s">
        <v>8</v>
      </c>
      <c r="S43" s="1505">
        <f t="shared" si="12"/>
        <v>100</v>
      </c>
      <c r="T43" s="1504" t="s">
        <v>8</v>
      </c>
      <c r="U43" s="1505">
        <f t="shared" si="13"/>
        <v>100</v>
      </c>
      <c r="V43" s="1504" t="s">
        <v>8</v>
      </c>
      <c r="W43" s="1505">
        <f t="shared" si="14"/>
        <v>100</v>
      </c>
      <c r="X43" s="1498"/>
      <c r="Y43" s="3695"/>
      <c r="Z43" s="1506" t="str">
        <f t="shared" si="15"/>
        <v>内部装修</v>
      </c>
      <c r="AA43" s="1507">
        <f t="shared" si="3"/>
        <v>1</v>
      </c>
      <c r="AB43" s="1507">
        <f t="shared" si="4"/>
        <v>1</v>
      </c>
      <c r="AC43" s="1507">
        <f t="shared" si="5"/>
        <v>1</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695"/>
      <c r="Q44" s="1503" t="str">
        <f t="shared" si="11"/>
        <v>内部装修维护情况</v>
      </c>
      <c r="R44" s="1504" t="s">
        <v>8</v>
      </c>
      <c r="S44" s="1505">
        <f t="shared" si="12"/>
        <v>100</v>
      </c>
      <c r="T44" s="1504" t="s">
        <v>8</v>
      </c>
      <c r="U44" s="1505">
        <f t="shared" si="13"/>
        <v>100</v>
      </c>
      <c r="V44" s="1504" t="s">
        <v>8</v>
      </c>
      <c r="W44" s="1505">
        <f t="shared" si="14"/>
        <v>100</v>
      </c>
      <c r="X44" s="1498"/>
      <c r="Y44" s="3695"/>
      <c r="Z44" s="1506" t="str">
        <f t="shared" si="15"/>
        <v>内部装修维护情况</v>
      </c>
      <c r="AA44" s="1507">
        <f t="shared" si="3"/>
        <v>1</v>
      </c>
      <c r="AB44" s="1507">
        <f t="shared" si="4"/>
        <v>1</v>
      </c>
      <c r="AC44" s="1507">
        <f t="shared" si="5"/>
        <v>1</v>
      </c>
    </row>
    <row r="45" spans="1:29" s="1201" customFormat="1" ht="15" hidden="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695"/>
      <c r="Q45" s="1132">
        <f t="shared" si="11"/>
        <v>111</v>
      </c>
      <c r="R45" s="1499" t="s">
        <v>8</v>
      </c>
      <c r="S45" s="1500">
        <f t="shared" si="12"/>
        <v>100</v>
      </c>
      <c r="T45" s="1499" t="s">
        <v>8</v>
      </c>
      <c r="U45" s="1500">
        <f t="shared" si="13"/>
        <v>100</v>
      </c>
      <c r="V45" s="1499" t="s">
        <v>8</v>
      </c>
      <c r="W45" s="1500">
        <f t="shared" si="14"/>
        <v>100</v>
      </c>
      <c r="X45" s="1501"/>
      <c r="Y45" s="3695"/>
      <c r="Z45" s="1131">
        <f t="shared" si="15"/>
        <v>111</v>
      </c>
      <c r="AA45" s="1502">
        <f t="shared" si="3"/>
        <v>1</v>
      </c>
      <c r="AB45" s="1502">
        <f t="shared" si="4"/>
        <v>1</v>
      </c>
      <c r="AC45" s="1502">
        <f t="shared" si="5"/>
        <v>1</v>
      </c>
    </row>
    <row r="46" spans="1:29" ht="15" hidden="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695"/>
      <c r="Q46" s="1503">
        <f t="shared" si="11"/>
        <v>111</v>
      </c>
      <c r="R46" s="1504" t="s">
        <v>8</v>
      </c>
      <c r="S46" s="1505">
        <f t="shared" si="12"/>
        <v>100</v>
      </c>
      <c r="T46" s="1504" t="s">
        <v>8</v>
      </c>
      <c r="U46" s="1505">
        <f t="shared" si="13"/>
        <v>100</v>
      </c>
      <c r="V46" s="1504" t="s">
        <v>8</v>
      </c>
      <c r="W46" s="1505">
        <f t="shared" si="14"/>
        <v>100</v>
      </c>
      <c r="X46" s="1498"/>
      <c r="Y46" s="3695"/>
      <c r="Z46" s="1506">
        <f t="shared" si="15"/>
        <v>111</v>
      </c>
      <c r="AA46" s="1507">
        <f t="shared" si="3"/>
        <v>1</v>
      </c>
      <c r="AB46" s="1507">
        <f t="shared" si="4"/>
        <v>1</v>
      </c>
      <c r="AC46" s="1507">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54"/>
      <c r="Q47" s="1503">
        <f t="shared" si="11"/>
        <v>111</v>
      </c>
      <c r="R47" s="1504" t="s">
        <v>8</v>
      </c>
      <c r="S47" s="1505">
        <f t="shared" si="12"/>
        <v>100</v>
      </c>
      <c r="T47" s="1504" t="s">
        <v>8</v>
      </c>
      <c r="U47" s="1505">
        <f t="shared" si="13"/>
        <v>100</v>
      </c>
      <c r="V47" s="1504" t="s">
        <v>8</v>
      </c>
      <c r="W47" s="1505">
        <f t="shared" si="14"/>
        <v>100</v>
      </c>
      <c r="X47" s="1498"/>
      <c r="Y47" s="3754"/>
      <c r="Z47" s="1506">
        <f t="shared" si="15"/>
        <v>111</v>
      </c>
      <c r="AA47" s="1507">
        <f t="shared" si="3"/>
        <v>1</v>
      </c>
      <c r="AB47" s="1507">
        <f t="shared" si="4"/>
        <v>1</v>
      </c>
      <c r="AC47" s="1507">
        <f t="shared" si="5"/>
        <v>1</v>
      </c>
    </row>
    <row r="48" spans="1:29" ht="15">
      <c r="A48" s="601" t="s">
        <v>730</v>
      </c>
      <c r="B48" s="876"/>
      <c r="C48" s="2467" t="s">
        <v>1</v>
      </c>
      <c r="D48" s="2468"/>
      <c r="E48" s="2469">
        <f>ROUND(25000*E51,0)</f>
        <v>22500</v>
      </c>
      <c r="F48" s="2470"/>
      <c r="G48" s="2471">
        <f>ROUND(26000*E51,0)</f>
        <v>23400</v>
      </c>
      <c r="H48" s="2472"/>
      <c r="I48" s="3792">
        <f>ROUND(22000*1,0)</f>
        <v>22000</v>
      </c>
      <c r="J48" s="2472"/>
      <c r="K48" s="1537"/>
      <c r="L48" s="2023"/>
      <c r="M48" s="2013"/>
      <c r="N48" s="2013"/>
      <c r="O48" s="2013"/>
      <c r="P48" s="3656" t="str">
        <f>A48</f>
        <v>成交单价（元/平方米）</v>
      </c>
      <c r="Q48" s="3658"/>
      <c r="R48" s="3753">
        <f>E48</f>
        <v>22500</v>
      </c>
      <c r="S48" s="3753"/>
      <c r="T48" s="3753">
        <f>G48</f>
        <v>23400</v>
      </c>
      <c r="U48" s="3753"/>
      <c r="V48" s="3753">
        <f>I48</f>
        <v>22000</v>
      </c>
      <c r="W48" s="3753"/>
      <c r="X48" s="1493"/>
      <c r="Y48" s="1512"/>
      <c r="Z48" s="1493"/>
      <c r="AA48" s="1493"/>
      <c r="AB48" s="1493"/>
      <c r="AC48" s="1493"/>
    </row>
    <row r="49" spans="1:29" ht="15.75" thickBot="1">
      <c r="A49" s="609" t="s">
        <v>2737</v>
      </c>
      <c r="B49" s="877"/>
      <c r="C49" s="2473">
        <f>R50</f>
        <v>22633</v>
      </c>
      <c r="D49" s="3011" t="s">
        <v>2964</v>
      </c>
      <c r="E49" s="2474">
        <f>R49</f>
        <v>22500</v>
      </c>
      <c r="F49" s="3012"/>
      <c r="G49" s="2473">
        <f>T49</f>
        <v>23400</v>
      </c>
      <c r="H49" s="3012"/>
      <c r="I49" s="2474">
        <f>V49</f>
        <v>22000</v>
      </c>
      <c r="J49" s="3012"/>
      <c r="K49" s="3020">
        <f>F49+H49+J49</f>
        <v>0</v>
      </c>
      <c r="L49" s="2023"/>
      <c r="M49" s="2013"/>
      <c r="N49" s="2013"/>
      <c r="O49" s="2013"/>
      <c r="P49" s="3656" t="str">
        <f>A49</f>
        <v>比较价格（元/平方米）</v>
      </c>
      <c r="Q49" s="3658"/>
      <c r="R49" s="3753">
        <f>IF(F1="售价",ROUND(PRODUCT(R48,AA7:AA47),0),ROUND(PRODUCT(R48,AA7:AA47),1))</f>
        <v>22500</v>
      </c>
      <c r="S49" s="3753"/>
      <c r="T49" s="3753">
        <f>IF(F1="售价",ROUND(PRODUCT(T48,AB7:AB47),0),ROUND(PRODUCT(T48,AB7:AB47),1))</f>
        <v>23400</v>
      </c>
      <c r="U49" s="3753"/>
      <c r="V49" s="3753">
        <f>IF(F1="售价",ROUND(PRODUCT(V48,AC7:AC47),0),ROUND(PRODUCT(V48,AC7:AC47),1))</f>
        <v>22000</v>
      </c>
      <c r="W49" s="3753"/>
      <c r="X49" s="1493"/>
      <c r="Y49" s="1493"/>
      <c r="Z49" s="1493"/>
      <c r="AA49" s="1493"/>
      <c r="AB49" s="1493"/>
      <c r="AC49" s="1493"/>
    </row>
    <row r="50" spans="1:29" ht="15.75" thickBot="1">
      <c r="A50" s="613" t="s">
        <v>2896</v>
      </c>
      <c r="B50" s="614"/>
      <c r="C50" s="2475">
        <f>R50</f>
        <v>22633</v>
      </c>
      <c r="D50" s="2475"/>
      <c r="E50" s="2475"/>
      <c r="F50" s="2475"/>
      <c r="G50" s="2475"/>
      <c r="H50" s="2475"/>
      <c r="I50" s="2475"/>
      <c r="J50" s="2475"/>
      <c r="K50" s="1538"/>
      <c r="L50" s="2023"/>
      <c r="M50" s="2013"/>
      <c r="N50" s="2013"/>
      <c r="O50" s="2013"/>
      <c r="P50" s="3755" t="str">
        <f>A50</f>
        <v>估价对象XX用房的比较价格（楼面单价，元/平方米）</v>
      </c>
      <c r="Q50" s="3656"/>
      <c r="R50" s="3752">
        <f>IF(F1="售价",ROUND(IF(D49="简单平均",AVERAGE(R49:V49),R49*F49+T49*H49+V49*J49),0),ROUND(IF(D49="简单平均",AVERAGE(R49:V49),R49*F49+T49*H49+V49*J49),1))</f>
        <v>22633</v>
      </c>
      <c r="S50" s="3752"/>
      <c r="T50" s="3752"/>
      <c r="U50" s="3752"/>
      <c r="V50" s="3752"/>
      <c r="W50" s="3752"/>
      <c r="X50" s="1493"/>
      <c r="Y50" s="1493"/>
      <c r="Z50" s="1493"/>
      <c r="AA50" s="1493"/>
      <c r="AB50" s="1493"/>
      <c r="AC50" s="1493"/>
    </row>
    <row r="51" spans="1:29">
      <c r="A51" s="3211"/>
      <c r="B51" s="3211"/>
      <c r="C51" s="3211"/>
      <c r="D51" s="3211"/>
      <c r="E51" s="3211">
        <v>0.9</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4.0000000000000036E-2</v>
      </c>
      <c r="F54" s="619" t="str">
        <f>IF(OR(E54&gt;=0.2,E54&lt;=-0.2),"超过20%","")</f>
        <v/>
      </c>
      <c r="G54" s="618">
        <f>IF(G49&lt;I49,I49/G49-1,G49/I49-1)</f>
        <v>6.3636363636363713E-2</v>
      </c>
      <c r="H54" s="619" t="str">
        <f>IF(OR(G54&gt;=0.2,G54&lt;=-0.2),"超过20%","")</f>
        <v/>
      </c>
      <c r="I54" s="618">
        <f>IF(I49&lt;E49,E49/I49-1,I49/E49-1)</f>
        <v>2.2727272727272707E-2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4.0000000000000036E-2</v>
      </c>
      <c r="F55" s="619" t="str">
        <f>IF(OR(E55&gt;=0.3,E55&lt;=-0.3),"超过30%","")</f>
        <v/>
      </c>
      <c r="G55" s="618">
        <f>IF(G48&lt;I48,I48/G48-1,G48/I48-1)</f>
        <v>6.3636363636363713E-2</v>
      </c>
      <c r="H55" s="619" t="str">
        <f>IF(OR(G55&gt;=0.3,G55&lt;=-0.3),"超过30%","")</f>
        <v/>
      </c>
      <c r="I55" s="618">
        <f>IF(I48&lt;E48,E48/I48-1,I48/E48-1)</f>
        <v>2.2727272727272707E-2</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2021-6</v>
      </c>
      <c r="D59" s="2518">
        <f>EDATE(C59,-1)</f>
        <v>44317</v>
      </c>
      <c r="E59" s="2518">
        <f t="shared" ref="E59:O59" si="16">EDATE(D59,-1)</f>
        <v>44287</v>
      </c>
      <c r="F59" s="2518">
        <f t="shared" si="16"/>
        <v>44256</v>
      </c>
      <c r="G59" s="2518">
        <f t="shared" si="16"/>
        <v>44228</v>
      </c>
      <c r="H59" s="2518">
        <f t="shared" si="16"/>
        <v>44197</v>
      </c>
      <c r="I59" s="2518">
        <f t="shared" si="16"/>
        <v>44166</v>
      </c>
      <c r="J59" s="2518">
        <f t="shared" si="16"/>
        <v>44136</v>
      </c>
      <c r="K59" s="2518">
        <f t="shared" si="16"/>
        <v>44105</v>
      </c>
      <c r="L59" s="2518">
        <f t="shared" si="16"/>
        <v>44075</v>
      </c>
      <c r="M59" s="2518">
        <f t="shared" si="16"/>
        <v>44044</v>
      </c>
      <c r="N59" s="2518">
        <f t="shared" si="16"/>
        <v>44013</v>
      </c>
      <c r="O59" s="2518">
        <f t="shared" si="16"/>
        <v>43983</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15</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5.75" hidden="1" thickTop="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5.75" hidden="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5.75" hidden="1" thickTop="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5.75" hidden="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5.75" hidden="1" thickTop="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2536</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2537</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7.75" hidden="1" thickTop="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5.75" hidden="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5.75" hidden="1" thickTop="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5.75" hidden="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5.75" hidden="1" thickTop="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5.75" hidden="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5.75" hidden="1" thickTop="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5.75" hidden="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5.75" hidden="1" thickTop="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5.75" hidden="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5.75" hidden="1" thickTop="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5.75" hidden="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5.75" hidden="1" thickTop="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5.75" hidden="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3444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3068</v>
      </c>
      <c r="D117" s="1324" t="s">
        <v>3070</v>
      </c>
      <c r="E117" s="1324" t="s">
        <v>3071</v>
      </c>
      <c r="F117" s="1324" t="s">
        <v>3072</v>
      </c>
      <c r="G117" s="1324" t="s">
        <v>3073</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3">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D49" xr:uid="{00000000-0002-0000-2100-000016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853"/>
  <sheetViews>
    <sheetView view="pageBreakPreview" topLeftCell="A16" zoomScale="80" zoomScaleNormal="60" zoomScaleSheetLayoutView="80" workbookViewId="0">
      <selection activeCell="J49" sqref="J49"/>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3222</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94466</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23798</v>
      </c>
      <c r="C3" s="841" t="s">
        <v>716</v>
      </c>
      <c r="D3" s="840">
        <f>SUMIF('数据-汇总表'!$C19:$C33,D1,'数据-汇总表'!$E19:$E33)</f>
        <v>39694.82</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64" t="s">
        <v>516</v>
      </c>
      <c r="D4" s="3665"/>
      <c r="E4" s="3698" t="s">
        <v>517</v>
      </c>
      <c r="F4" s="3699"/>
      <c r="G4" s="3664" t="s">
        <v>518</v>
      </c>
      <c r="H4" s="3665"/>
      <c r="I4" s="3664" t="s">
        <v>519</v>
      </c>
      <c r="J4" s="3665"/>
      <c r="K4" s="508" t="s">
        <v>520</v>
      </c>
      <c r="L4" s="2012"/>
      <c r="M4" s="2013"/>
      <c r="N4" s="2013"/>
      <c r="O4" s="2013"/>
      <c r="P4" s="3756" t="s">
        <v>521</v>
      </c>
      <c r="Q4" s="3667"/>
      <c r="R4" s="3672" t="s">
        <v>517</v>
      </c>
      <c r="S4" s="3673"/>
      <c r="T4" s="3672" t="s">
        <v>518</v>
      </c>
      <c r="U4" s="3673"/>
      <c r="V4" s="3659" t="s">
        <v>519</v>
      </c>
      <c r="W4" s="3659"/>
      <c r="X4" s="3391"/>
      <c r="Y4" s="3672" t="s">
        <v>521</v>
      </c>
      <c r="Z4" s="3673"/>
      <c r="AA4" s="3661" t="s">
        <v>517</v>
      </c>
      <c r="AB4" s="3661" t="s">
        <v>518</v>
      </c>
      <c r="AC4" s="3661" t="s">
        <v>519</v>
      </c>
    </row>
    <row r="5" spans="1:29" ht="15">
      <c r="A5" s="509"/>
      <c r="B5" s="510"/>
      <c r="C5" s="3680" t="s">
        <v>2890</v>
      </c>
      <c r="D5" s="3681"/>
      <c r="E5" s="3762" t="s">
        <v>3447</v>
      </c>
      <c r="F5" s="3701"/>
      <c r="G5" s="3760" t="s">
        <v>3488</v>
      </c>
      <c r="H5" s="3681"/>
      <c r="I5" s="3760" t="s">
        <v>3496</v>
      </c>
      <c r="J5" s="3681"/>
      <c r="K5" s="508"/>
      <c r="L5" s="2012"/>
      <c r="M5" s="2013"/>
      <c r="N5" s="2013"/>
      <c r="O5" s="2013"/>
      <c r="P5" s="3757"/>
      <c r="Q5" s="3669"/>
      <c r="R5" s="3674"/>
      <c r="S5" s="3675"/>
      <c r="T5" s="3674"/>
      <c r="U5" s="3675"/>
      <c r="V5" s="3659"/>
      <c r="W5" s="3659"/>
      <c r="X5" s="3391"/>
      <c r="Y5" s="3674"/>
      <c r="Z5" s="3675"/>
      <c r="AA5" s="3662"/>
      <c r="AB5" s="3662"/>
      <c r="AC5" s="3662"/>
    </row>
    <row r="6" spans="1:29" ht="26.25" customHeight="1" thickBot="1">
      <c r="A6" s="511"/>
      <c r="B6" s="512"/>
      <c r="C6" s="3678" t="s">
        <v>2894</v>
      </c>
      <c r="D6" s="3679"/>
      <c r="E6" s="3761" t="s">
        <v>3448</v>
      </c>
      <c r="F6" s="3697"/>
      <c r="G6" s="3759" t="s">
        <v>3449</v>
      </c>
      <c r="H6" s="3679"/>
      <c r="I6" s="3759" t="s">
        <v>3475</v>
      </c>
      <c r="J6" s="3679"/>
      <c r="K6" s="508" t="s">
        <v>522</v>
      </c>
      <c r="L6" s="2012"/>
      <c r="M6" s="2013"/>
      <c r="N6" s="2013"/>
      <c r="O6" s="2013"/>
      <c r="P6" s="3758"/>
      <c r="Q6" s="3671"/>
      <c r="R6" s="3674"/>
      <c r="S6" s="3675"/>
      <c r="T6" s="3676"/>
      <c r="U6" s="3677"/>
      <c r="V6" s="3659"/>
      <c r="W6" s="3659"/>
      <c r="X6" s="3391"/>
      <c r="Y6" s="3676"/>
      <c r="Z6" s="3677"/>
      <c r="AA6" s="3663"/>
      <c r="AB6" s="3663"/>
      <c r="AC6" s="3663"/>
    </row>
    <row r="7" spans="1:29" s="1201" customFormat="1" ht="15.75" thickBot="1">
      <c r="A7" s="2626"/>
      <c r="B7" s="2633" t="s">
        <v>523</v>
      </c>
      <c r="C7" s="513">
        <f>'数据-取费表'!B2</f>
        <v>44377</v>
      </c>
      <c r="D7" s="514">
        <v>100</v>
      </c>
      <c r="E7" s="515">
        <f>C7</f>
        <v>44377</v>
      </c>
      <c r="F7" s="516">
        <f>SUMIF(59:59,YEAR(E7)&amp;"-"&amp;MONTH(E7),60:60)</f>
        <v>100</v>
      </c>
      <c r="G7" s="515">
        <f>C7</f>
        <v>44377</v>
      </c>
      <c r="H7" s="514">
        <f>SUMIF(59:59,YEAR(G7)&amp;"-"&amp;MONTH(G7),60:60)</f>
        <v>100</v>
      </c>
      <c r="I7" s="515">
        <f>C7</f>
        <v>44377</v>
      </c>
      <c r="J7" s="514">
        <f>SUMIF(59:59,YEAR(I7)&amp;"-"&amp;MONTH(I7),60:60)</f>
        <v>100</v>
      </c>
      <c r="K7" s="518"/>
      <c r="L7" s="2014"/>
      <c r="M7" s="2015"/>
      <c r="N7" s="2015"/>
      <c r="O7" s="2015"/>
      <c r="P7" s="3691" t="s">
        <v>524</v>
      </c>
      <c r="Q7" s="3691"/>
      <c r="R7" s="1499" t="s">
        <v>8</v>
      </c>
      <c r="S7" s="1500">
        <f t="shared" ref="S7:S15" si="0">F7</f>
        <v>100</v>
      </c>
      <c r="T7" s="1499" t="s">
        <v>8</v>
      </c>
      <c r="U7" s="1500">
        <f t="shared" ref="U7:U15" si="1">H7</f>
        <v>100</v>
      </c>
      <c r="V7" s="1499" t="s">
        <v>8</v>
      </c>
      <c r="W7" s="1500">
        <f t="shared" ref="W7:W15" si="2">J7</f>
        <v>100</v>
      </c>
      <c r="X7" s="1501"/>
      <c r="Y7" s="3689" t="s">
        <v>524</v>
      </c>
      <c r="Z7" s="3690"/>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91" t="s">
        <v>527</v>
      </c>
      <c r="Q8" s="3690"/>
      <c r="R8" s="1499" t="s">
        <v>8</v>
      </c>
      <c r="S8" s="1500">
        <f t="shared" si="0"/>
        <v>100</v>
      </c>
      <c r="T8" s="1499" t="s">
        <v>8</v>
      </c>
      <c r="U8" s="1500">
        <f t="shared" si="1"/>
        <v>100</v>
      </c>
      <c r="V8" s="1499" t="s">
        <v>8</v>
      </c>
      <c r="W8" s="1500">
        <f t="shared" si="2"/>
        <v>100</v>
      </c>
      <c r="X8" s="1501"/>
      <c r="Y8" s="3689" t="s">
        <v>527</v>
      </c>
      <c r="Z8" s="3690"/>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58" t="s">
        <v>529</v>
      </c>
      <c r="Q9" s="3387" t="str">
        <f t="shared" ref="Q9:Q15" si="6">B9</f>
        <v>用途</v>
      </c>
      <c r="R9" s="1499" t="s">
        <v>8</v>
      </c>
      <c r="S9" s="1500">
        <f t="shared" si="0"/>
        <v>100</v>
      </c>
      <c r="T9" s="1499" t="s">
        <v>8</v>
      </c>
      <c r="U9" s="1500">
        <f t="shared" si="1"/>
        <v>100</v>
      </c>
      <c r="V9" s="1499" t="s">
        <v>8</v>
      </c>
      <c r="W9" s="1500">
        <f t="shared" si="2"/>
        <v>100</v>
      </c>
      <c r="X9" s="1501"/>
      <c r="Y9" s="3604" t="s">
        <v>530</v>
      </c>
      <c r="Z9" s="3386"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58"/>
      <c r="Q10" s="3387" t="str">
        <f t="shared" si="6"/>
        <v>土地使用年限（年）</v>
      </c>
      <c r="R10" s="1499" t="s">
        <v>8</v>
      </c>
      <c r="S10" s="1500">
        <f t="shared" si="0"/>
        <v>100</v>
      </c>
      <c r="T10" s="1499" t="s">
        <v>8</v>
      </c>
      <c r="U10" s="1500">
        <f t="shared" si="1"/>
        <v>100</v>
      </c>
      <c r="V10" s="1499" t="s">
        <v>8</v>
      </c>
      <c r="W10" s="1500">
        <f t="shared" si="2"/>
        <v>100</v>
      </c>
      <c r="X10" s="1501"/>
      <c r="Y10" s="3604"/>
      <c r="Z10" s="3386"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c r="F11" s="253">
        <f>LOOKUP(E11,69:69,70:70)-LOOKUP(C11,69:69,70:70)+100</f>
        <v>100</v>
      </c>
      <c r="G11" s="528"/>
      <c r="H11" s="253">
        <f>LOOKUP(G11,69:69,70:70)-LOOKUP(C11,69:69,70:70)+100</f>
        <v>100</v>
      </c>
      <c r="I11" s="527"/>
      <c r="J11" s="253">
        <f>LOOKUP(I11,69:69,70:70)-LOOKUP(C11,69:69,70:70)+100</f>
        <v>100</v>
      </c>
      <c r="K11" s="578">
        <v>0</v>
      </c>
      <c r="L11" s="2019"/>
      <c r="M11" s="2013"/>
      <c r="N11" s="2013"/>
      <c r="O11" s="2013"/>
      <c r="P11" s="3658"/>
      <c r="Q11" s="3387" t="str">
        <f t="shared" si="6"/>
        <v>容积率</v>
      </c>
      <c r="R11" s="1499" t="s">
        <v>8</v>
      </c>
      <c r="S11" s="1500">
        <f t="shared" si="0"/>
        <v>100</v>
      </c>
      <c r="T11" s="1499" t="s">
        <v>8</v>
      </c>
      <c r="U11" s="1500">
        <f t="shared" si="1"/>
        <v>100</v>
      </c>
      <c r="V11" s="1499" t="s">
        <v>8</v>
      </c>
      <c r="W11" s="1500">
        <f t="shared" si="2"/>
        <v>100</v>
      </c>
      <c r="X11" s="1501"/>
      <c r="Y11" s="3604"/>
      <c r="Z11" s="3386" t="str">
        <f t="shared" si="7"/>
        <v>容积率</v>
      </c>
      <c r="AA11" s="1502">
        <f t="shared" si="3"/>
        <v>1</v>
      </c>
      <c r="AB11" s="1502">
        <f t="shared" si="4"/>
        <v>1</v>
      </c>
      <c r="AC11" s="1502">
        <f t="shared" si="5"/>
        <v>1</v>
      </c>
    </row>
    <row r="12" spans="1:29" s="1201" customFormat="1" ht="15.75" hidden="1" thickBot="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58"/>
      <c r="Q12" s="3387">
        <f t="shared" si="6"/>
        <v>111</v>
      </c>
      <c r="R12" s="1499" t="s">
        <v>8</v>
      </c>
      <c r="S12" s="1500">
        <f t="shared" si="0"/>
        <v>100</v>
      </c>
      <c r="T12" s="1499" t="s">
        <v>8</v>
      </c>
      <c r="U12" s="1500">
        <f t="shared" si="1"/>
        <v>100</v>
      </c>
      <c r="V12" s="1499" t="s">
        <v>8</v>
      </c>
      <c r="W12" s="1500">
        <f t="shared" si="2"/>
        <v>100</v>
      </c>
      <c r="X12" s="1501"/>
      <c r="Y12" s="3604"/>
      <c r="Z12" s="3386">
        <f t="shared" si="7"/>
        <v>111</v>
      </c>
      <c r="AA12" s="1502">
        <f>D12/F12</f>
        <v>1</v>
      </c>
      <c r="AB12" s="1502">
        <f>D12/H12</f>
        <v>1</v>
      </c>
      <c r="AC12" s="1502">
        <f>D12/J12</f>
        <v>1</v>
      </c>
    </row>
    <row r="13" spans="1:29" ht="15.75" hidden="1" thickBot="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58"/>
      <c r="Q13" s="3387">
        <f t="shared" si="6"/>
        <v>111</v>
      </c>
      <c r="R13" s="1499" t="s">
        <v>8</v>
      </c>
      <c r="S13" s="1500">
        <f t="shared" si="0"/>
        <v>100</v>
      </c>
      <c r="T13" s="1499" t="s">
        <v>8</v>
      </c>
      <c r="U13" s="1500">
        <f t="shared" si="1"/>
        <v>100</v>
      </c>
      <c r="V13" s="1499" t="s">
        <v>8</v>
      </c>
      <c r="W13" s="1500">
        <f t="shared" si="2"/>
        <v>100</v>
      </c>
      <c r="X13" s="1501"/>
      <c r="Y13" s="3604"/>
      <c r="Z13" s="3386">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58"/>
      <c r="Q14" s="3387">
        <f t="shared" si="6"/>
        <v>111</v>
      </c>
      <c r="R14" s="1499" t="s">
        <v>8</v>
      </c>
      <c r="S14" s="1500">
        <f t="shared" si="0"/>
        <v>100</v>
      </c>
      <c r="T14" s="1499" t="s">
        <v>8</v>
      </c>
      <c r="U14" s="1500">
        <f t="shared" si="1"/>
        <v>100</v>
      </c>
      <c r="V14" s="1499" t="s">
        <v>8</v>
      </c>
      <c r="W14" s="1500">
        <f t="shared" si="2"/>
        <v>100</v>
      </c>
      <c r="X14" s="1501"/>
      <c r="Y14" s="3604"/>
      <c r="Z14" s="3386">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92" t="s">
        <v>534</v>
      </c>
      <c r="Q15" s="3389" t="str">
        <f t="shared" si="6"/>
        <v>办公集聚程度</v>
      </c>
      <c r="R15" s="1504" t="s">
        <v>8</v>
      </c>
      <c r="S15" s="1505">
        <f t="shared" si="0"/>
        <v>100</v>
      </c>
      <c r="T15" s="1504" t="s">
        <v>8</v>
      </c>
      <c r="U15" s="1505">
        <f t="shared" si="1"/>
        <v>100</v>
      </c>
      <c r="V15" s="1504" t="s">
        <v>8</v>
      </c>
      <c r="W15" s="1505">
        <f t="shared" si="2"/>
        <v>100</v>
      </c>
      <c r="X15" s="3391"/>
      <c r="Y15" s="3692" t="s">
        <v>534</v>
      </c>
      <c r="Z15" s="3390" t="str">
        <f t="shared" si="7"/>
        <v>办公集聚程度</v>
      </c>
      <c r="AA15" s="3392">
        <f t="shared" si="3"/>
        <v>1</v>
      </c>
      <c r="AB15" s="3392">
        <f t="shared" si="4"/>
        <v>1</v>
      </c>
      <c r="AC15" s="3392">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93"/>
      <c r="Q16" s="3389"/>
      <c r="R16" s="1504"/>
      <c r="S16" s="1505"/>
      <c r="T16" s="1504"/>
      <c r="U16" s="1505"/>
      <c r="V16" s="1504"/>
      <c r="W16" s="1505"/>
      <c r="X16" s="3391"/>
      <c r="Y16" s="3693"/>
      <c r="Z16" s="3390"/>
      <c r="AA16" s="3392">
        <v>1</v>
      </c>
      <c r="AB16" s="3392">
        <v>1</v>
      </c>
      <c r="AC16" s="3392">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93"/>
      <c r="Q17" s="3389" t="str">
        <f>B17</f>
        <v>交通便捷度</v>
      </c>
      <c r="R17" s="1504" t="s">
        <v>8</v>
      </c>
      <c r="S17" s="1505">
        <f>F17</f>
        <v>100</v>
      </c>
      <c r="T17" s="1504" t="s">
        <v>8</v>
      </c>
      <c r="U17" s="1505">
        <f>H17</f>
        <v>100</v>
      </c>
      <c r="V17" s="1504" t="s">
        <v>8</v>
      </c>
      <c r="W17" s="1505">
        <f>J17</f>
        <v>100</v>
      </c>
      <c r="X17" s="3391"/>
      <c r="Y17" s="3693"/>
      <c r="Z17" s="3390" t="str">
        <f>Q17</f>
        <v>交通便捷度</v>
      </c>
      <c r="AA17" s="3392">
        <f t="shared" si="3"/>
        <v>1</v>
      </c>
      <c r="AB17" s="3392">
        <f t="shared" si="4"/>
        <v>1</v>
      </c>
      <c r="AC17" s="3392">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93"/>
      <c r="Q18" s="3389"/>
      <c r="R18" s="1504"/>
      <c r="S18" s="1505"/>
      <c r="T18" s="1504"/>
      <c r="U18" s="1505"/>
      <c r="V18" s="1504"/>
      <c r="W18" s="1505"/>
      <c r="X18" s="3391"/>
      <c r="Y18" s="3693"/>
      <c r="Z18" s="3390"/>
      <c r="AA18" s="3392">
        <v>1</v>
      </c>
      <c r="AB18" s="3392">
        <v>1</v>
      </c>
      <c r="AC18" s="3392">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21"/>
      <c r="M19" s="2013"/>
      <c r="N19" s="2013"/>
      <c r="O19" s="2013"/>
      <c r="P19" s="3693"/>
      <c r="Q19" s="3389" t="str">
        <f>B19</f>
        <v>公共配套设施</v>
      </c>
      <c r="R19" s="1504" t="s">
        <v>8</v>
      </c>
      <c r="S19" s="1505">
        <f>F19</f>
        <v>100</v>
      </c>
      <c r="T19" s="1504" t="s">
        <v>8</v>
      </c>
      <c r="U19" s="1505">
        <f>H19</f>
        <v>100</v>
      </c>
      <c r="V19" s="1504" t="s">
        <v>8</v>
      </c>
      <c r="W19" s="1505">
        <f>J19</f>
        <v>100</v>
      </c>
      <c r="X19" s="3391"/>
      <c r="Y19" s="3693"/>
      <c r="Z19" s="3390" t="str">
        <f>Q19</f>
        <v>公共配套设施</v>
      </c>
      <c r="AA19" s="3392">
        <f t="shared" si="3"/>
        <v>1</v>
      </c>
      <c r="AB19" s="3392">
        <f t="shared" si="4"/>
        <v>1</v>
      </c>
      <c r="AC19" s="3392">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93"/>
      <c r="Q20" s="3389"/>
      <c r="R20" s="1504"/>
      <c r="S20" s="1505"/>
      <c r="T20" s="1504"/>
      <c r="U20" s="1505"/>
      <c r="V20" s="1504"/>
      <c r="W20" s="1505"/>
      <c r="X20" s="3391"/>
      <c r="Y20" s="3693"/>
      <c r="Z20" s="3390"/>
      <c r="AA20" s="3392">
        <v>1</v>
      </c>
      <c r="AB20" s="3392">
        <v>1</v>
      </c>
      <c r="AC20" s="3392">
        <v>1</v>
      </c>
    </row>
    <row r="21" spans="1:29" ht="28.5">
      <c r="A21" s="526"/>
      <c r="B21" s="2432" t="s">
        <v>2526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93"/>
      <c r="Q21" s="3389" t="str">
        <f>B21</f>
        <v>基础设施水平</v>
      </c>
      <c r="R21" s="1504" t="s">
        <v>8</v>
      </c>
      <c r="S21" s="1505">
        <f>F21</f>
        <v>100</v>
      </c>
      <c r="T21" s="1504" t="s">
        <v>8</v>
      </c>
      <c r="U21" s="1505">
        <f>H21</f>
        <v>100</v>
      </c>
      <c r="V21" s="1504" t="s">
        <v>8</v>
      </c>
      <c r="W21" s="1505">
        <f>J21</f>
        <v>100</v>
      </c>
      <c r="X21" s="3391"/>
      <c r="Y21" s="3693"/>
      <c r="Z21" s="3390" t="str">
        <f>Q21</f>
        <v>基础设施水平</v>
      </c>
      <c r="AA21" s="3392">
        <f t="shared" ref="AA21" si="8">D21/F21</f>
        <v>1</v>
      </c>
      <c r="AB21" s="3392">
        <f t="shared" ref="AB21" si="9">D21/H21</f>
        <v>1</v>
      </c>
      <c r="AC21" s="3392">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93"/>
      <c r="Q22" s="3389"/>
      <c r="R22" s="1504"/>
      <c r="S22" s="1505"/>
      <c r="T22" s="1504"/>
      <c r="U22" s="1505"/>
      <c r="V22" s="1504"/>
      <c r="W22" s="1505"/>
      <c r="X22" s="3391"/>
      <c r="Y22" s="3693"/>
      <c r="Z22" s="3390"/>
      <c r="AA22" s="3392">
        <v>1</v>
      </c>
      <c r="AB22" s="3392">
        <v>1</v>
      </c>
      <c r="AC22" s="3392">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93"/>
      <c r="Q23" s="3389" t="str">
        <f>B23</f>
        <v>环境质量</v>
      </c>
      <c r="R23" s="1504" t="s">
        <v>8</v>
      </c>
      <c r="S23" s="1505">
        <f>F23</f>
        <v>100</v>
      </c>
      <c r="T23" s="1504" t="s">
        <v>8</v>
      </c>
      <c r="U23" s="1505">
        <f>H23</f>
        <v>100</v>
      </c>
      <c r="V23" s="1504" t="s">
        <v>8</v>
      </c>
      <c r="W23" s="1505">
        <f>J23</f>
        <v>100</v>
      </c>
      <c r="X23" s="3391"/>
      <c r="Y23" s="3693"/>
      <c r="Z23" s="3390" t="str">
        <f>Q23</f>
        <v>环境质量</v>
      </c>
      <c r="AA23" s="3392">
        <f t="shared" si="3"/>
        <v>1</v>
      </c>
      <c r="AB23" s="3392">
        <f t="shared" si="4"/>
        <v>1</v>
      </c>
      <c r="AC23" s="3392">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93"/>
      <c r="Q24" s="3389"/>
      <c r="R24" s="1504"/>
      <c r="S24" s="1505"/>
      <c r="T24" s="1504"/>
      <c r="U24" s="1505"/>
      <c r="V24" s="1504"/>
      <c r="W24" s="1505"/>
      <c r="X24" s="3391"/>
      <c r="Y24" s="3693"/>
      <c r="Z24" s="3390"/>
      <c r="AA24" s="3392">
        <v>1</v>
      </c>
      <c r="AB24" s="3392">
        <v>1</v>
      </c>
      <c r="AC24" s="3392">
        <v>1</v>
      </c>
    </row>
    <row r="25" spans="1:29" ht="27.75" hidden="1" thickBot="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93"/>
      <c r="Q25" s="3389" t="str">
        <f>B25</f>
        <v>毗邻道路的类型与等级</v>
      </c>
      <c r="R25" s="1504" t="s">
        <v>8</v>
      </c>
      <c r="S25" s="1505">
        <f>F25</f>
        <v>100</v>
      </c>
      <c r="T25" s="1504" t="s">
        <v>8</v>
      </c>
      <c r="U25" s="1505">
        <f>H25</f>
        <v>100</v>
      </c>
      <c r="V25" s="1504" t="s">
        <v>8</v>
      </c>
      <c r="W25" s="1505">
        <f>J25</f>
        <v>100</v>
      </c>
      <c r="X25" s="3391"/>
      <c r="Y25" s="3693"/>
      <c r="Z25" s="3390" t="str">
        <f>Q25</f>
        <v>毗邻道路的类型与等级</v>
      </c>
      <c r="AA25" s="3392">
        <f t="shared" si="3"/>
        <v>1</v>
      </c>
      <c r="AB25" s="3392">
        <f t="shared" si="4"/>
        <v>1</v>
      </c>
      <c r="AC25" s="3392">
        <f t="shared" si="5"/>
        <v>1</v>
      </c>
    </row>
    <row r="26" spans="1:29" ht="15.75" hidden="1" thickBot="1">
      <c r="A26" s="509"/>
      <c r="B26" s="560"/>
      <c r="C26" s="574"/>
      <c r="D26" s="534"/>
      <c r="E26" s="577"/>
      <c r="F26" s="534"/>
      <c r="G26" s="574"/>
      <c r="H26" s="534"/>
      <c r="I26" s="577"/>
      <c r="J26" s="534"/>
      <c r="K26" s="888"/>
      <c r="L26" s="2021"/>
      <c r="M26" s="2013"/>
      <c r="N26" s="2013"/>
      <c r="O26" s="2013"/>
      <c r="P26" s="3693"/>
      <c r="Q26" s="3389"/>
      <c r="R26" s="1504"/>
      <c r="S26" s="1505"/>
      <c r="T26" s="1504"/>
      <c r="U26" s="1505"/>
      <c r="V26" s="1504"/>
      <c r="W26" s="1505"/>
      <c r="X26" s="3391"/>
      <c r="Y26" s="3693"/>
      <c r="Z26" s="3390"/>
      <c r="AA26" s="3392">
        <v>1</v>
      </c>
      <c r="AB26" s="3392">
        <v>1</v>
      </c>
      <c r="AC26" s="3392">
        <v>1</v>
      </c>
    </row>
    <row r="27" spans="1:29" ht="15.75" hidden="1" thickBot="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93"/>
      <c r="Q27" s="3389" t="str">
        <f t="shared" ref="Q27:Q47" si="11">B27</f>
        <v>楼层</v>
      </c>
      <c r="R27" s="1504" t="s">
        <v>8</v>
      </c>
      <c r="S27" s="1505">
        <f>F27</f>
        <v>100</v>
      </c>
      <c r="T27" s="1504" t="s">
        <v>8</v>
      </c>
      <c r="U27" s="1505">
        <f>H27</f>
        <v>100</v>
      </c>
      <c r="V27" s="1504" t="s">
        <v>8</v>
      </c>
      <c r="W27" s="1505">
        <f>J27</f>
        <v>100</v>
      </c>
      <c r="X27" s="3391"/>
      <c r="Y27" s="3693"/>
      <c r="Z27" s="3390" t="str">
        <f>Q27</f>
        <v>楼层</v>
      </c>
      <c r="AA27" s="3392">
        <f t="shared" si="3"/>
        <v>1</v>
      </c>
      <c r="AB27" s="3392">
        <f t="shared" si="4"/>
        <v>1</v>
      </c>
      <c r="AC27" s="3392">
        <f t="shared" si="5"/>
        <v>1</v>
      </c>
    </row>
    <row r="28" spans="1:29" s="1201" customFormat="1" ht="15.75" hidden="1" thickBot="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93"/>
      <c r="Q28" s="3387" t="str">
        <f t="shared" si="11"/>
        <v>朝向</v>
      </c>
      <c r="R28" s="1499" t="s">
        <v>8</v>
      </c>
      <c r="S28" s="1500">
        <f>F28</f>
        <v>100</v>
      </c>
      <c r="T28" s="1499" t="s">
        <v>8</v>
      </c>
      <c r="U28" s="1500">
        <f>H28</f>
        <v>100</v>
      </c>
      <c r="V28" s="1499" t="s">
        <v>8</v>
      </c>
      <c r="W28" s="1500">
        <f>J28</f>
        <v>100</v>
      </c>
      <c r="X28" s="1501"/>
      <c r="Y28" s="3693"/>
      <c r="Z28" s="3386" t="str">
        <f>Q28</f>
        <v>朝向</v>
      </c>
      <c r="AA28" s="3392">
        <f>D28/F28</f>
        <v>1</v>
      </c>
      <c r="AB28" s="3392">
        <f>D28/H28</f>
        <v>1</v>
      </c>
      <c r="AC28" s="3392">
        <f>D28/J28</f>
        <v>1</v>
      </c>
    </row>
    <row r="29" spans="1:29" ht="15.75" hidden="1" thickBot="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93"/>
      <c r="Q29" s="3389">
        <f t="shared" si="11"/>
        <v>111</v>
      </c>
      <c r="R29" s="1504" t="s">
        <v>8</v>
      </c>
      <c r="S29" s="1505">
        <f t="shared" ref="S29:S47" si="12">F29</f>
        <v>100</v>
      </c>
      <c r="T29" s="1504" t="s">
        <v>8</v>
      </c>
      <c r="U29" s="1505">
        <f t="shared" ref="U29:U47" si="13">H29</f>
        <v>100</v>
      </c>
      <c r="V29" s="1504" t="s">
        <v>8</v>
      </c>
      <c r="W29" s="1505">
        <f t="shared" ref="W29:W47" si="14">J29</f>
        <v>100</v>
      </c>
      <c r="X29" s="3391"/>
      <c r="Y29" s="3693"/>
      <c r="Z29" s="3390">
        <f t="shared" ref="Z29:Z47" si="15">Q29</f>
        <v>111</v>
      </c>
      <c r="AA29" s="3392">
        <f t="shared" si="3"/>
        <v>1</v>
      </c>
      <c r="AB29" s="3392">
        <f t="shared" si="4"/>
        <v>1</v>
      </c>
      <c r="AC29" s="3392">
        <f t="shared" si="5"/>
        <v>1</v>
      </c>
    </row>
    <row r="30" spans="1:29" ht="15.75" hidden="1" thickBot="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93"/>
      <c r="Q30" s="3389">
        <f t="shared" si="11"/>
        <v>111</v>
      </c>
      <c r="R30" s="1504" t="s">
        <v>8</v>
      </c>
      <c r="S30" s="1505">
        <f t="shared" si="12"/>
        <v>100</v>
      </c>
      <c r="T30" s="1504" t="s">
        <v>8</v>
      </c>
      <c r="U30" s="1505">
        <f t="shared" si="13"/>
        <v>100</v>
      </c>
      <c r="V30" s="1504" t="s">
        <v>8</v>
      </c>
      <c r="W30" s="1505">
        <f t="shared" si="14"/>
        <v>100</v>
      </c>
      <c r="X30" s="3391"/>
      <c r="Y30" s="3693"/>
      <c r="Z30" s="3390">
        <f t="shared" si="15"/>
        <v>111</v>
      </c>
      <c r="AA30" s="3392">
        <f t="shared" si="3"/>
        <v>1</v>
      </c>
      <c r="AB30" s="3392">
        <f t="shared" si="4"/>
        <v>1</v>
      </c>
      <c r="AC30" s="3392">
        <f t="shared" si="5"/>
        <v>1</v>
      </c>
    </row>
    <row r="31" spans="1:29" ht="15.75" hidden="1" thickBot="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93"/>
      <c r="Q31" s="3389">
        <f t="shared" si="11"/>
        <v>111</v>
      </c>
      <c r="R31" s="1504" t="s">
        <v>8</v>
      </c>
      <c r="S31" s="1505">
        <f t="shared" si="12"/>
        <v>100</v>
      </c>
      <c r="T31" s="1504" t="s">
        <v>8</v>
      </c>
      <c r="U31" s="1505">
        <f t="shared" si="13"/>
        <v>100</v>
      </c>
      <c r="V31" s="1504" t="s">
        <v>8</v>
      </c>
      <c r="W31" s="1505">
        <f t="shared" si="14"/>
        <v>100</v>
      </c>
      <c r="X31" s="3391"/>
      <c r="Y31" s="3693"/>
      <c r="Z31" s="3390">
        <f t="shared" si="15"/>
        <v>111</v>
      </c>
      <c r="AA31" s="3392">
        <f t="shared" si="3"/>
        <v>1</v>
      </c>
      <c r="AB31" s="3392">
        <f t="shared" si="4"/>
        <v>1</v>
      </c>
      <c r="AC31" s="3392">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93"/>
      <c r="Q32" s="3389">
        <f t="shared" si="11"/>
        <v>111</v>
      </c>
      <c r="R32" s="1504" t="s">
        <v>8</v>
      </c>
      <c r="S32" s="1505">
        <f t="shared" si="12"/>
        <v>100</v>
      </c>
      <c r="T32" s="1504" t="s">
        <v>8</v>
      </c>
      <c r="U32" s="1505">
        <f t="shared" si="13"/>
        <v>100</v>
      </c>
      <c r="V32" s="1504" t="s">
        <v>8</v>
      </c>
      <c r="W32" s="1505">
        <f t="shared" si="14"/>
        <v>100</v>
      </c>
      <c r="X32" s="3391"/>
      <c r="Y32" s="3693"/>
      <c r="Z32" s="3390">
        <f t="shared" si="15"/>
        <v>111</v>
      </c>
      <c r="AA32" s="3392">
        <f t="shared" si="3"/>
        <v>1</v>
      </c>
      <c r="AB32" s="3392">
        <f t="shared" si="4"/>
        <v>1</v>
      </c>
      <c r="AC32" s="3392">
        <f t="shared" si="5"/>
        <v>1</v>
      </c>
    </row>
    <row r="33" spans="1:29" ht="15">
      <c r="A33" s="2621" t="s">
        <v>2732</v>
      </c>
      <c r="B33" s="170" t="s">
        <v>774</v>
      </c>
      <c r="C33" s="904" t="s">
        <v>3473</v>
      </c>
      <c r="D33" s="591">
        <v>100</v>
      </c>
      <c r="E33" s="904" t="s">
        <v>3473</v>
      </c>
      <c r="F33" s="569">
        <f>SUMIF(101:101,E33,102:102)-SUMIF(101:101,C33,102:102)+100</f>
        <v>100</v>
      </c>
      <c r="G33" s="904" t="s">
        <v>3473</v>
      </c>
      <c r="H33" s="534">
        <f>SUMIF(101:101,G33,102:102)-SUMIF(101:101,C33,102:102)+100</f>
        <v>100</v>
      </c>
      <c r="I33" s="904" t="s">
        <v>3473</v>
      </c>
      <c r="J33" s="591">
        <f>SUMIF(101:101,I33,102:102)-SUMIF(101:101,C33,102:102)+100</f>
        <v>100</v>
      </c>
      <c r="K33" s="578">
        <v>2</v>
      </c>
      <c r="L33" s="2021"/>
      <c r="M33" s="2013"/>
      <c r="N33" s="2013"/>
      <c r="O33" s="2013"/>
      <c r="P33" s="3694" t="s">
        <v>544</v>
      </c>
      <c r="Q33" s="3389" t="str">
        <f t="shared" si="11"/>
        <v>建筑类型</v>
      </c>
      <c r="R33" s="1504" t="s">
        <v>8</v>
      </c>
      <c r="S33" s="1505">
        <f t="shared" si="12"/>
        <v>100</v>
      </c>
      <c r="T33" s="1504" t="s">
        <v>8</v>
      </c>
      <c r="U33" s="1505">
        <f t="shared" si="13"/>
        <v>100</v>
      </c>
      <c r="V33" s="1504" t="s">
        <v>8</v>
      </c>
      <c r="W33" s="1505">
        <f t="shared" si="14"/>
        <v>100</v>
      </c>
      <c r="X33" s="3391"/>
      <c r="Y33" s="3695" t="s">
        <v>544</v>
      </c>
      <c r="Z33" s="3390" t="str">
        <f t="shared" si="15"/>
        <v>建筑类型</v>
      </c>
      <c r="AA33" s="3392">
        <f t="shared" si="3"/>
        <v>1</v>
      </c>
      <c r="AB33" s="3392">
        <f t="shared" si="4"/>
        <v>1</v>
      </c>
      <c r="AC33" s="3392">
        <f t="shared" si="5"/>
        <v>1</v>
      </c>
    </row>
    <row r="34" spans="1:29" s="1291" customFormat="1" ht="15" hidden="1">
      <c r="A34" s="597"/>
      <c r="B34" s="521" t="s">
        <v>720</v>
      </c>
      <c r="C34" s="3393">
        <f>'数据-基础表'!K13</f>
        <v>39694.82</v>
      </c>
      <c r="D34" s="253">
        <v>100</v>
      </c>
      <c r="E34" s="528">
        <v>960000</v>
      </c>
      <c r="F34" s="852">
        <f>LOOKUP(E34,104:104,105:105)-LOOKUP(C34,104:104,105:105)+100</f>
        <v>100</v>
      </c>
      <c r="G34" s="527">
        <v>115800</v>
      </c>
      <c r="H34" s="253">
        <f>LOOKUP(G34,104:104,105:105)-LOOKUP(C34,104:104,105:105)+100</f>
        <v>100</v>
      </c>
      <c r="I34" s="527">
        <v>110935</v>
      </c>
      <c r="J34" s="253">
        <f>LOOKUP(I34,104:104,105:105)-LOOKUP(C34,104:104,105:105)+100</f>
        <v>100</v>
      </c>
      <c r="K34" s="575"/>
      <c r="L34" s="2019"/>
      <c r="M34" s="2049"/>
      <c r="N34" s="2049"/>
      <c r="O34" s="2049"/>
      <c r="P34" s="3695"/>
      <c r="Q34" s="1532" t="str">
        <f t="shared" si="11"/>
        <v>项目建筑规模</v>
      </c>
      <c r="R34" s="1508" t="s">
        <v>8</v>
      </c>
      <c r="S34" s="1509">
        <f t="shared" si="12"/>
        <v>100</v>
      </c>
      <c r="T34" s="1508" t="s">
        <v>8</v>
      </c>
      <c r="U34" s="1509">
        <f t="shared" si="13"/>
        <v>100</v>
      </c>
      <c r="V34" s="1508" t="s">
        <v>8</v>
      </c>
      <c r="W34" s="1509">
        <f t="shared" si="14"/>
        <v>100</v>
      </c>
      <c r="X34" s="1510"/>
      <c r="Y34" s="3695"/>
      <c r="Z34" s="1511" t="str">
        <f t="shared" si="15"/>
        <v>项目建筑规模</v>
      </c>
      <c r="AA34" s="3392">
        <f t="shared" si="3"/>
        <v>1</v>
      </c>
      <c r="AB34" s="3392">
        <f t="shared" si="4"/>
        <v>1</v>
      </c>
      <c r="AC34" s="3392">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695"/>
      <c r="Q35" s="3389" t="str">
        <f t="shared" si="11"/>
        <v>建筑结构</v>
      </c>
      <c r="R35" s="1504" t="s">
        <v>8</v>
      </c>
      <c r="S35" s="1505">
        <f t="shared" si="12"/>
        <v>100</v>
      </c>
      <c r="T35" s="1504" t="s">
        <v>8</v>
      </c>
      <c r="U35" s="1505">
        <f t="shared" si="13"/>
        <v>100</v>
      </c>
      <c r="V35" s="1504" t="s">
        <v>8</v>
      </c>
      <c r="W35" s="1505">
        <f t="shared" si="14"/>
        <v>100</v>
      </c>
      <c r="X35" s="3391"/>
      <c r="Y35" s="3695"/>
      <c r="Z35" s="3390" t="str">
        <f t="shared" si="15"/>
        <v>建筑结构</v>
      </c>
      <c r="AA35" s="3392">
        <f t="shared" si="3"/>
        <v>1</v>
      </c>
      <c r="AB35" s="3392">
        <f t="shared" si="4"/>
        <v>1</v>
      </c>
      <c r="AC35" s="3392">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695"/>
      <c r="Q36" s="3389" t="str">
        <f t="shared" si="11"/>
        <v>公共部分装修</v>
      </c>
      <c r="R36" s="1504" t="s">
        <v>8</v>
      </c>
      <c r="S36" s="1505">
        <f t="shared" si="12"/>
        <v>100</v>
      </c>
      <c r="T36" s="1504" t="s">
        <v>8</v>
      </c>
      <c r="U36" s="1505">
        <f t="shared" si="13"/>
        <v>100</v>
      </c>
      <c r="V36" s="1504" t="s">
        <v>8</v>
      </c>
      <c r="W36" s="1505">
        <f t="shared" si="14"/>
        <v>100</v>
      </c>
      <c r="X36" s="3391"/>
      <c r="Y36" s="3695"/>
      <c r="Z36" s="3390" t="str">
        <f t="shared" si="15"/>
        <v>公共部分装修</v>
      </c>
      <c r="AA36" s="3392">
        <f t="shared" si="3"/>
        <v>1</v>
      </c>
      <c r="AB36" s="3392">
        <f t="shared" si="4"/>
        <v>1</v>
      </c>
      <c r="AC36" s="3392">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695"/>
      <c r="Q37" s="3389" t="str">
        <f t="shared" si="11"/>
        <v>成新度</v>
      </c>
      <c r="R37" s="1504" t="s">
        <v>8</v>
      </c>
      <c r="S37" s="1505">
        <f t="shared" si="12"/>
        <v>100</v>
      </c>
      <c r="T37" s="1504" t="s">
        <v>8</v>
      </c>
      <c r="U37" s="1505">
        <f t="shared" si="13"/>
        <v>100</v>
      </c>
      <c r="V37" s="1504" t="s">
        <v>8</v>
      </c>
      <c r="W37" s="1505">
        <f t="shared" si="14"/>
        <v>100</v>
      </c>
      <c r="X37" s="3391"/>
      <c r="Y37" s="3695"/>
      <c r="Z37" s="3390" t="str">
        <f t="shared" si="15"/>
        <v>成新度</v>
      </c>
      <c r="AA37" s="3392">
        <f t="shared" si="3"/>
        <v>1</v>
      </c>
      <c r="AB37" s="3392">
        <f t="shared" si="4"/>
        <v>1</v>
      </c>
      <c r="AC37" s="3392">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695"/>
      <c r="Q38" s="3387" t="str">
        <f t="shared" si="11"/>
        <v>写字楼等级</v>
      </c>
      <c r="R38" s="1499" t="s">
        <v>8</v>
      </c>
      <c r="S38" s="1500">
        <f t="shared" si="12"/>
        <v>100</v>
      </c>
      <c r="T38" s="1499" t="s">
        <v>8</v>
      </c>
      <c r="U38" s="1500">
        <f t="shared" si="13"/>
        <v>100</v>
      </c>
      <c r="V38" s="1499" t="s">
        <v>8</v>
      </c>
      <c r="W38" s="1500">
        <f t="shared" si="14"/>
        <v>100</v>
      </c>
      <c r="X38" s="1501"/>
      <c r="Y38" s="3695"/>
      <c r="Z38" s="3386"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695" t="s">
        <v>544</v>
      </c>
      <c r="Q39" s="3389" t="str">
        <f t="shared" si="11"/>
        <v>物业管理</v>
      </c>
      <c r="R39" s="1504" t="s">
        <v>8</v>
      </c>
      <c r="S39" s="1505">
        <f t="shared" si="12"/>
        <v>100</v>
      </c>
      <c r="T39" s="1504" t="s">
        <v>8</v>
      </c>
      <c r="U39" s="1505">
        <f t="shared" si="13"/>
        <v>100</v>
      </c>
      <c r="V39" s="1504" t="s">
        <v>8</v>
      </c>
      <c r="W39" s="1505">
        <f t="shared" si="14"/>
        <v>100</v>
      </c>
      <c r="X39" s="3391"/>
      <c r="Y39" s="3695" t="s">
        <v>544</v>
      </c>
      <c r="Z39" s="3390" t="str">
        <f t="shared" si="15"/>
        <v>物业管理</v>
      </c>
      <c r="AA39" s="3392">
        <f t="shared" si="3"/>
        <v>1</v>
      </c>
      <c r="AB39" s="3392">
        <f t="shared" si="4"/>
        <v>1</v>
      </c>
      <c r="AC39" s="3392">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695"/>
      <c r="Q40" s="3389" t="str">
        <f t="shared" si="11"/>
        <v>市政基础设施</v>
      </c>
      <c r="R40" s="1504" t="s">
        <v>8</v>
      </c>
      <c r="S40" s="1505">
        <f t="shared" si="12"/>
        <v>100</v>
      </c>
      <c r="T40" s="1504" t="s">
        <v>8</v>
      </c>
      <c r="U40" s="1505">
        <f t="shared" si="13"/>
        <v>100</v>
      </c>
      <c r="V40" s="1504" t="s">
        <v>8</v>
      </c>
      <c r="W40" s="1505">
        <f t="shared" si="14"/>
        <v>100</v>
      </c>
      <c r="X40" s="3391"/>
      <c r="Y40" s="3695"/>
      <c r="Z40" s="3390" t="str">
        <f t="shared" si="15"/>
        <v>市政基础设施</v>
      </c>
      <c r="AA40" s="3392">
        <f t="shared" si="3"/>
        <v>1</v>
      </c>
      <c r="AB40" s="3392">
        <f t="shared" si="4"/>
        <v>1</v>
      </c>
      <c r="AC40" s="3392">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695"/>
      <c r="Q41" s="3389" t="str">
        <f t="shared" si="11"/>
        <v>层高</v>
      </c>
      <c r="R41" s="1504" t="s">
        <v>8</v>
      </c>
      <c r="S41" s="1505">
        <f t="shared" si="12"/>
        <v>100</v>
      </c>
      <c r="T41" s="1504" t="s">
        <v>8</v>
      </c>
      <c r="U41" s="1505">
        <f t="shared" si="13"/>
        <v>100</v>
      </c>
      <c r="V41" s="1504" t="s">
        <v>8</v>
      </c>
      <c r="W41" s="1505">
        <f t="shared" si="14"/>
        <v>100</v>
      </c>
      <c r="X41" s="3391"/>
      <c r="Y41" s="3695"/>
      <c r="Z41" s="3390" t="str">
        <f t="shared" si="15"/>
        <v>层高</v>
      </c>
      <c r="AA41" s="3392">
        <f t="shared" si="3"/>
        <v>1</v>
      </c>
      <c r="AB41" s="3392">
        <f t="shared" si="4"/>
        <v>1</v>
      </c>
      <c r="AC41" s="3392">
        <f t="shared" si="5"/>
        <v>1</v>
      </c>
    </row>
    <row r="42" spans="1:29" s="1291" customFormat="1" ht="15" hidden="1">
      <c r="A42" s="597"/>
      <c r="B42" s="3388"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695"/>
      <c r="Q42" s="1532" t="str">
        <f t="shared" si="11"/>
        <v>单套建筑面积</v>
      </c>
      <c r="R42" s="1508" t="s">
        <v>8</v>
      </c>
      <c r="S42" s="1509">
        <f t="shared" si="12"/>
        <v>100</v>
      </c>
      <c r="T42" s="1508" t="s">
        <v>8</v>
      </c>
      <c r="U42" s="1509">
        <f t="shared" si="13"/>
        <v>100</v>
      </c>
      <c r="V42" s="1508" t="s">
        <v>8</v>
      </c>
      <c r="W42" s="1509">
        <f t="shared" si="14"/>
        <v>100</v>
      </c>
      <c r="X42" s="1510"/>
      <c r="Y42" s="3695"/>
      <c r="Z42" s="1511" t="str">
        <f t="shared" si="15"/>
        <v>单套建筑面积</v>
      </c>
      <c r="AA42" s="3392">
        <f t="shared" si="3"/>
        <v>1</v>
      </c>
      <c r="AB42" s="3392">
        <f t="shared" si="4"/>
        <v>1</v>
      </c>
      <c r="AC42" s="3392">
        <f t="shared" si="5"/>
        <v>1</v>
      </c>
    </row>
    <row r="43" spans="1:29" ht="15">
      <c r="A43" s="588"/>
      <c r="B43" s="521" t="s">
        <v>764</v>
      </c>
      <c r="C43" s="568" t="s">
        <v>3079</v>
      </c>
      <c r="D43" s="534">
        <v>100</v>
      </c>
      <c r="E43" s="568" t="s">
        <v>3079</v>
      </c>
      <c r="F43" s="569">
        <f>SUMIF(123:123,E43,124:124)-SUMIF(123:123,C43,124:124)+100</f>
        <v>100</v>
      </c>
      <c r="G43" s="568" t="s">
        <v>3083</v>
      </c>
      <c r="H43" s="534">
        <f>SUMIF(123:123,G43,124:124)-SUMIF(123:123,C43,124:124)+100</f>
        <v>94</v>
      </c>
      <c r="I43" s="568" t="s">
        <v>3083</v>
      </c>
      <c r="J43" s="534">
        <f>SUMIF(123:123,I43,124:124)-SUMIF(123:123,C43,124:124)+100</f>
        <v>94</v>
      </c>
      <c r="K43" s="578">
        <v>2</v>
      </c>
      <c r="L43" s="2021"/>
      <c r="M43" s="2013"/>
      <c r="N43" s="2013"/>
      <c r="O43" s="2013"/>
      <c r="P43" s="3695"/>
      <c r="Q43" s="3389" t="str">
        <f t="shared" si="11"/>
        <v>内部装修</v>
      </c>
      <c r="R43" s="1504" t="s">
        <v>8</v>
      </c>
      <c r="S43" s="1505">
        <f t="shared" si="12"/>
        <v>100</v>
      </c>
      <c r="T43" s="1504" t="s">
        <v>8</v>
      </c>
      <c r="U43" s="1505">
        <f t="shared" si="13"/>
        <v>94</v>
      </c>
      <c r="V43" s="1504" t="s">
        <v>8</v>
      </c>
      <c r="W43" s="1505">
        <f t="shared" si="14"/>
        <v>94</v>
      </c>
      <c r="X43" s="3391"/>
      <c r="Y43" s="3695"/>
      <c r="Z43" s="3390" t="str">
        <f t="shared" si="15"/>
        <v>内部装修</v>
      </c>
      <c r="AA43" s="3392">
        <f t="shared" si="3"/>
        <v>1</v>
      </c>
      <c r="AB43" s="3392">
        <f t="shared" si="4"/>
        <v>1.0638297872340425</v>
      </c>
      <c r="AC43" s="3392">
        <f t="shared" si="5"/>
        <v>1.0638297872340425</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695"/>
      <c r="Q44" s="3389" t="str">
        <f t="shared" si="11"/>
        <v>内部装修维护情况</v>
      </c>
      <c r="R44" s="1504" t="s">
        <v>8</v>
      </c>
      <c r="S44" s="1505">
        <f t="shared" si="12"/>
        <v>100</v>
      </c>
      <c r="T44" s="1504" t="s">
        <v>8</v>
      </c>
      <c r="U44" s="1505">
        <f t="shared" si="13"/>
        <v>100</v>
      </c>
      <c r="V44" s="1504" t="s">
        <v>8</v>
      </c>
      <c r="W44" s="1505">
        <f t="shared" si="14"/>
        <v>100</v>
      </c>
      <c r="X44" s="3391"/>
      <c r="Y44" s="3695"/>
      <c r="Z44" s="3390" t="str">
        <f t="shared" si="15"/>
        <v>内部装修维护情况</v>
      </c>
      <c r="AA44" s="3392">
        <f t="shared" si="3"/>
        <v>1</v>
      </c>
      <c r="AB44" s="3392">
        <f t="shared" si="4"/>
        <v>1</v>
      </c>
      <c r="AC44" s="3392">
        <f t="shared" si="5"/>
        <v>1</v>
      </c>
    </row>
    <row r="45" spans="1:29" s="1201" customFormat="1" ht="15.75" hidden="1" thickBot="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695"/>
      <c r="Q45" s="3387">
        <f t="shared" si="11"/>
        <v>111</v>
      </c>
      <c r="R45" s="1499" t="s">
        <v>8</v>
      </c>
      <c r="S45" s="1500">
        <f t="shared" si="12"/>
        <v>100</v>
      </c>
      <c r="T45" s="1499" t="s">
        <v>8</v>
      </c>
      <c r="U45" s="1500">
        <f t="shared" si="13"/>
        <v>100</v>
      </c>
      <c r="V45" s="1499" t="s">
        <v>8</v>
      </c>
      <c r="W45" s="1500">
        <f t="shared" si="14"/>
        <v>100</v>
      </c>
      <c r="X45" s="1501"/>
      <c r="Y45" s="3695"/>
      <c r="Z45" s="3386">
        <f t="shared" si="15"/>
        <v>111</v>
      </c>
      <c r="AA45" s="1502">
        <f t="shared" si="3"/>
        <v>1</v>
      </c>
      <c r="AB45" s="1502">
        <f t="shared" si="4"/>
        <v>1</v>
      </c>
      <c r="AC45" s="1502">
        <f t="shared" si="5"/>
        <v>1</v>
      </c>
    </row>
    <row r="46" spans="1:29" ht="15.75" hidden="1" thickBot="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695"/>
      <c r="Q46" s="3389">
        <f t="shared" si="11"/>
        <v>111</v>
      </c>
      <c r="R46" s="1504" t="s">
        <v>8</v>
      </c>
      <c r="S46" s="1505">
        <f t="shared" si="12"/>
        <v>100</v>
      </c>
      <c r="T46" s="1504" t="s">
        <v>8</v>
      </c>
      <c r="U46" s="1505">
        <f t="shared" si="13"/>
        <v>100</v>
      </c>
      <c r="V46" s="1504" t="s">
        <v>8</v>
      </c>
      <c r="W46" s="1505">
        <f t="shared" si="14"/>
        <v>100</v>
      </c>
      <c r="X46" s="3391"/>
      <c r="Y46" s="3695"/>
      <c r="Z46" s="3390">
        <f t="shared" si="15"/>
        <v>111</v>
      </c>
      <c r="AA46" s="3392">
        <f t="shared" si="3"/>
        <v>1</v>
      </c>
      <c r="AB46" s="3392">
        <f t="shared" si="4"/>
        <v>1</v>
      </c>
      <c r="AC46" s="3392">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54"/>
      <c r="Q47" s="3389">
        <f t="shared" si="11"/>
        <v>111</v>
      </c>
      <c r="R47" s="1504" t="s">
        <v>8</v>
      </c>
      <c r="S47" s="1505">
        <f t="shared" si="12"/>
        <v>100</v>
      </c>
      <c r="T47" s="1504" t="s">
        <v>8</v>
      </c>
      <c r="U47" s="1505">
        <f t="shared" si="13"/>
        <v>100</v>
      </c>
      <c r="V47" s="1504" t="s">
        <v>8</v>
      </c>
      <c r="W47" s="1505">
        <f t="shared" si="14"/>
        <v>100</v>
      </c>
      <c r="X47" s="3391"/>
      <c r="Y47" s="3754"/>
      <c r="Z47" s="3390">
        <f t="shared" si="15"/>
        <v>111</v>
      </c>
      <c r="AA47" s="3392">
        <f t="shared" si="3"/>
        <v>1</v>
      </c>
      <c r="AB47" s="3392">
        <f t="shared" si="4"/>
        <v>1</v>
      </c>
      <c r="AC47" s="3392">
        <f t="shared" si="5"/>
        <v>1</v>
      </c>
    </row>
    <row r="48" spans="1:29" ht="15">
      <c r="A48" s="601" t="s">
        <v>730</v>
      </c>
      <c r="B48" s="876"/>
      <c r="C48" s="2467" t="s">
        <v>1</v>
      </c>
      <c r="D48" s="2468"/>
      <c r="E48" s="2469">
        <f>ROUND(27000*E51,0)</f>
        <v>25650</v>
      </c>
      <c r="F48" s="2470"/>
      <c r="G48" s="2471">
        <v>21000</v>
      </c>
      <c r="H48" s="2472"/>
      <c r="I48" s="2469">
        <f>ROUND(22000*1,0)</f>
        <v>22000</v>
      </c>
      <c r="J48" s="2472"/>
      <c r="K48" s="1537"/>
      <c r="L48" s="2023"/>
      <c r="M48" s="2013"/>
      <c r="N48" s="2013"/>
      <c r="O48" s="2013"/>
      <c r="P48" s="3656" t="str">
        <f>A48</f>
        <v>成交单价（元/平方米）</v>
      </c>
      <c r="Q48" s="3658"/>
      <c r="R48" s="3753">
        <f>E48</f>
        <v>25650</v>
      </c>
      <c r="S48" s="3753"/>
      <c r="T48" s="3753">
        <f>G48</f>
        <v>21000</v>
      </c>
      <c r="U48" s="3753"/>
      <c r="V48" s="3753">
        <f>I48</f>
        <v>22000</v>
      </c>
      <c r="W48" s="3753"/>
      <c r="X48" s="1493"/>
      <c r="Y48" s="1512"/>
      <c r="Z48" s="1493"/>
      <c r="AA48" s="1493"/>
      <c r="AB48" s="1493"/>
      <c r="AC48" s="1493"/>
    </row>
    <row r="49" spans="1:29" ht="15.75" thickBot="1">
      <c r="A49" s="609" t="s">
        <v>2670</v>
      </c>
      <c r="B49" s="877"/>
      <c r="C49" s="2473">
        <f>R50</f>
        <v>23798</v>
      </c>
      <c r="D49" s="3011" t="s">
        <v>2964</v>
      </c>
      <c r="E49" s="2474">
        <f>R49</f>
        <v>25650</v>
      </c>
      <c r="F49" s="3012"/>
      <c r="G49" s="2473">
        <f>T49</f>
        <v>22340</v>
      </c>
      <c r="H49" s="3012"/>
      <c r="I49" s="2474">
        <f>V49</f>
        <v>23404</v>
      </c>
      <c r="J49" s="3012"/>
      <c r="K49" s="3020">
        <f>F49+H49+J49</f>
        <v>0</v>
      </c>
      <c r="L49" s="2023"/>
      <c r="M49" s="2013"/>
      <c r="N49" s="2013"/>
      <c r="O49" s="2013"/>
      <c r="P49" s="3656" t="str">
        <f>A49</f>
        <v>比较价格（元/平方米）</v>
      </c>
      <c r="Q49" s="3658"/>
      <c r="R49" s="3753">
        <f>IF(F1="售价",ROUND(PRODUCT(R48,AA7:AA47),0),ROUND(PRODUCT(R48,AA7:AA47),1))</f>
        <v>25650</v>
      </c>
      <c r="S49" s="3753"/>
      <c r="T49" s="3753">
        <f>IF(F1="售价",ROUND(PRODUCT(T48,AB7:AB47),0),ROUND(PRODUCT(T48,AB7:AB47),1))</f>
        <v>22340</v>
      </c>
      <c r="U49" s="3753"/>
      <c r="V49" s="3753">
        <f>IF(F1="售价",ROUND(PRODUCT(V48,AC7:AC47),0),ROUND(PRODUCT(V48,AC7:AC47),1))</f>
        <v>23404</v>
      </c>
      <c r="W49" s="3753"/>
      <c r="X49" s="1493"/>
      <c r="Y49" s="1493"/>
      <c r="Z49" s="1493"/>
      <c r="AA49" s="1493"/>
      <c r="AB49" s="1493"/>
      <c r="AC49" s="1493"/>
    </row>
    <row r="50" spans="1:29" ht="15.75" thickBot="1">
      <c r="A50" s="613" t="s">
        <v>2896</v>
      </c>
      <c r="B50" s="614"/>
      <c r="C50" s="2475">
        <f>R50</f>
        <v>23798</v>
      </c>
      <c r="D50" s="2475"/>
      <c r="E50" s="2475"/>
      <c r="F50" s="2475"/>
      <c r="G50" s="2475"/>
      <c r="H50" s="2475"/>
      <c r="I50" s="2475"/>
      <c r="J50" s="2475"/>
      <c r="K50" s="1538"/>
      <c r="L50" s="2023"/>
      <c r="M50" s="2013"/>
      <c r="N50" s="2013"/>
      <c r="O50" s="2013"/>
      <c r="P50" s="3755" t="str">
        <f>A50</f>
        <v>估价对象XX用房的比较价格（楼面单价，元/平方米）</v>
      </c>
      <c r="Q50" s="3656"/>
      <c r="R50" s="3752">
        <f>IF(F1="售价",ROUND(IF(D49="简单平均",AVERAGE(R49:V49),R49*F49+T49*H49+V49*J49),0),ROUND(IF(D49="简单平均",AVERAGE(R49:V49),R49*F49+T49*H49+V49*J49),1))</f>
        <v>23798</v>
      </c>
      <c r="S50" s="3752"/>
      <c r="T50" s="3752"/>
      <c r="U50" s="3752"/>
      <c r="V50" s="3752"/>
      <c r="W50" s="3752"/>
      <c r="X50" s="1493"/>
      <c r="Y50" s="1493"/>
      <c r="Z50" s="1493"/>
      <c r="AA50" s="1493"/>
      <c r="AB50" s="1493"/>
      <c r="AC50" s="1493"/>
    </row>
    <row r="51" spans="1:29">
      <c r="A51" s="3211"/>
      <c r="B51" s="3211"/>
      <c r="C51" s="3211"/>
      <c r="D51" s="3211"/>
      <c r="E51" s="3211">
        <v>0.95</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6.380952380952376E-2</v>
      </c>
      <c r="H53" s="619" t="str">
        <f>IF(OR(G53&gt;=0.3,G53&lt;=-0.3),"超过30%","")</f>
        <v/>
      </c>
      <c r="I53" s="618">
        <f>IF(I48&lt;I49,I49/I48-1,I48/I49-1)</f>
        <v>6.3818181818181774E-2</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0.14816472694717997</v>
      </c>
      <c r="F54" s="619" t="str">
        <f>IF(OR(E54&gt;=0.2,E54&lt;=-0.2),"超过20%","")</f>
        <v/>
      </c>
      <c r="G54" s="618">
        <f>IF(G49&lt;I49,I49/G49-1,G49/I49-1)</f>
        <v>4.7627573858549654E-2</v>
      </c>
      <c r="H54" s="619" t="str">
        <f>IF(OR(G54&gt;=0.2,G54&lt;=-0.2),"超过20%","")</f>
        <v/>
      </c>
      <c r="I54" s="618">
        <f>IF(I49&lt;E49,E49/I49-1,I49/E49-1)</f>
        <v>9.5966501452743103E-2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0.22142857142857153</v>
      </c>
      <c r="F55" s="619" t="str">
        <f>IF(OR(E55&gt;=0.3,E55&lt;=-0.3),"超过30%","")</f>
        <v/>
      </c>
      <c r="G55" s="618">
        <f>IF(G48&lt;I48,I48/G48-1,G48/I48-1)</f>
        <v>4.7619047619047672E-2</v>
      </c>
      <c r="H55" s="619" t="str">
        <f>IF(OR(G55&gt;=0.3,G55&lt;=-0.3),"超过30%","")</f>
        <v/>
      </c>
      <c r="I55" s="618">
        <f>IF(I48&lt;E48,E48/I48-1,I48/E48-1)</f>
        <v>0.16590909090909101</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2021-6</v>
      </c>
      <c r="D59" s="2518">
        <f>EDATE(C59,-1)</f>
        <v>44317</v>
      </c>
      <c r="E59" s="2518">
        <f t="shared" ref="E59:O59" si="16">EDATE(D59,-1)</f>
        <v>44287</v>
      </c>
      <c r="F59" s="2518">
        <f t="shared" si="16"/>
        <v>44256</v>
      </c>
      <c r="G59" s="2518">
        <f t="shared" si="16"/>
        <v>44228</v>
      </c>
      <c r="H59" s="2518">
        <f t="shared" si="16"/>
        <v>44197</v>
      </c>
      <c r="I59" s="2518">
        <f t="shared" si="16"/>
        <v>44166</v>
      </c>
      <c r="J59" s="2518">
        <f t="shared" si="16"/>
        <v>44136</v>
      </c>
      <c r="K59" s="2518">
        <f t="shared" si="16"/>
        <v>44105</v>
      </c>
      <c r="L59" s="2518">
        <f t="shared" si="16"/>
        <v>44075</v>
      </c>
      <c r="M59" s="2518">
        <f t="shared" si="16"/>
        <v>44044</v>
      </c>
      <c r="N59" s="2518">
        <f t="shared" si="16"/>
        <v>44013</v>
      </c>
      <c r="O59" s="2518">
        <f t="shared" si="16"/>
        <v>43983</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14</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6.5" hidden="1" thickTop="1" thickBot="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6.5" hidden="1" thickTop="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6.5" hidden="1" thickTop="1" thickBot="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6.5" hidden="1" thickTop="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6.5" hidden="1" thickTop="1" thickBot="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2303</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2526</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8.5" hidden="1" thickTop="1" thickBot="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6.5" hidden="1" thickTop="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6.5" hidden="1" thickTop="1" thickBot="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6.5" hidden="1" thickTop="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6.5" hidden="1" thickTop="1" thickBot="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6.5" hidden="1" thickTop="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6.5" hidden="1" thickTop="1" thickBot="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6.5" hidden="1" thickTop="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6.5" hidden="1" thickTop="1" thickBot="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6.5" hidden="1" thickTop="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6.5" hidden="1" thickTop="1" thickBot="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6.5" hidden="1" thickTop="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6.5" hidden="1" thickTop="1" thickBot="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6.5" hidden="1" thickTop="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3474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2530</v>
      </c>
      <c r="D117" s="1324" t="s">
        <v>2531</v>
      </c>
      <c r="E117" s="1324" t="s">
        <v>2532</v>
      </c>
      <c r="F117" s="1324" t="s">
        <v>2533</v>
      </c>
      <c r="G117" s="1324" t="s">
        <v>2534</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3">
    <dataValidation type="list" allowBlank="1" showInputMessage="1" showErrorMessage="1" sqref="D49" xr:uid="{00000000-0002-0000-2200-000000000000}">
      <formula1>"简单平均,加权平均"</formula1>
    </dataValidation>
    <dataValidation type="list" allowBlank="1" showInputMessage="1" showErrorMessage="1" sqref="F1" xr:uid="{00000000-0002-0000-2200-000001000000}">
      <formula1>"售价,租金"</formula1>
    </dataValidation>
    <dataValidation type="list" allowBlank="1" showInputMessage="1" showErrorMessage="1" sqref="C22 E22 G22 I22" xr:uid="{00000000-0002-0000-2200-000002000000}">
      <formula1>基础设施水平</formula1>
    </dataValidation>
    <dataValidation type="list" allowBlank="1" showInputMessage="1" showErrorMessage="1" sqref="C8 E8 G8 I8" xr:uid="{00000000-0002-0000-2200-000003000000}">
      <formula1>办公交易情况</formula1>
    </dataValidation>
    <dataValidation type="list" allowBlank="1" showInputMessage="1" showErrorMessage="1" sqref="C43 E43 G43 I43" xr:uid="{00000000-0002-0000-2200-000004000000}">
      <formula1>办公内部装修</formula1>
    </dataValidation>
    <dataValidation type="list" allowBlank="1" showInputMessage="1" showErrorMessage="1" sqref="C41 E41 G41 I41" xr:uid="{00000000-0002-0000-2200-000005000000}">
      <formula1>办公层高</formula1>
    </dataValidation>
    <dataValidation type="list" allowBlank="1" showInputMessage="1" showErrorMessage="1" sqref="C40 E40 G40 I40" xr:uid="{00000000-0002-0000-2200-000006000000}">
      <formula1>办公基础设施水平</formula1>
    </dataValidation>
    <dataValidation type="list" allowBlank="1" showInputMessage="1" showErrorMessage="1" sqref="C39 E39 G39 I39" xr:uid="{00000000-0002-0000-2200-000007000000}">
      <formula1>办公物业管理</formula1>
    </dataValidation>
    <dataValidation type="list" allowBlank="1" showInputMessage="1" showErrorMessage="1" sqref="C38 E38 G38 I38" xr:uid="{00000000-0002-0000-2200-000008000000}">
      <formula1>写字楼等级</formula1>
    </dataValidation>
    <dataValidation type="list" allowBlank="1" showInputMessage="1" showErrorMessage="1" sqref="C36 E36 G36 I36" xr:uid="{00000000-0002-0000-2200-000009000000}">
      <formula1>办公公共部分装修</formula1>
    </dataValidation>
    <dataValidation type="list" allowBlank="1" showInputMessage="1" showErrorMessage="1" sqref="C33 E33 G33 I33" xr:uid="{00000000-0002-0000-2200-00000A000000}">
      <formula1>办公建筑类型</formula1>
    </dataValidation>
    <dataValidation type="list" allowBlank="1" showInputMessage="1" showErrorMessage="1" sqref="C27 E27 G27 I27" xr:uid="{00000000-0002-0000-2200-00000B000000}">
      <formula1>办公楼层</formula1>
    </dataValidation>
    <dataValidation type="list" allowBlank="1" showInputMessage="1" showErrorMessage="1" sqref="C28 E28 G28 I28" xr:uid="{00000000-0002-0000-2200-00000C000000}">
      <formula1>办公朝向</formula1>
    </dataValidation>
    <dataValidation type="list" allowBlank="1" showInputMessage="1" showErrorMessage="1" sqref="G26 C26 E26 I26" xr:uid="{00000000-0002-0000-2200-00000D000000}">
      <formula1>办公道路级别</formula1>
    </dataValidation>
    <dataValidation type="list" allowBlank="1" showInputMessage="1" showErrorMessage="1" sqref="C16 E16 G16 I16" xr:uid="{00000000-0002-0000-2200-00000E000000}">
      <formula1>办公集聚程度</formula1>
    </dataValidation>
    <dataValidation type="list" allowBlank="1" showInputMessage="1" showErrorMessage="1" sqref="E9 G9 I9" xr:uid="{00000000-0002-0000-2200-00000F000000}">
      <formula1>办公用途</formula1>
    </dataValidation>
    <dataValidation type="list" allowBlank="1" showInputMessage="1" showErrorMessage="1" sqref="C10 E10 G10 I10" xr:uid="{00000000-0002-0000-2200-000010000000}">
      <formula1>土地年限区间</formula1>
    </dataValidation>
    <dataValidation type="list" allowBlank="1" showInputMessage="1" showErrorMessage="1" sqref="D1" xr:uid="{00000000-0002-0000-2200-000011000000}">
      <formula1>项目类型</formula1>
    </dataValidation>
    <dataValidation type="list" allowBlank="1" showInputMessage="1" showErrorMessage="1" sqref="C44 E44 G44 I44" xr:uid="{00000000-0002-0000-2200-000012000000}">
      <formula1>内部装修维护情况</formula1>
    </dataValidation>
    <dataValidation type="list" allowBlank="1" showInputMessage="1" showErrorMessage="1" sqref="C20 G20 I20 E20" xr:uid="{00000000-0002-0000-2200-000013000000}">
      <formula1>公共配套设施</formula1>
    </dataValidation>
    <dataValidation type="list" allowBlank="1" showInputMessage="1" showErrorMessage="1" sqref="E18 G18 I18 C18" xr:uid="{00000000-0002-0000-2200-000014000000}">
      <formula1>交通便捷度</formula1>
    </dataValidation>
    <dataValidation type="list" allowBlank="1" showInputMessage="1" showErrorMessage="1" sqref="E24 G24 I24 C24" xr:uid="{00000000-0002-0000-2200-000015000000}">
      <formula1>环境</formula1>
    </dataValidation>
    <dataValidation type="list" allowBlank="1" showInputMessage="1" showErrorMessage="1" sqref="C35 E35 G35 I35" xr:uid="{00000000-0002-0000-2200-000016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2" zoomScale="80" zoomScaleNormal="60" zoomScaleSheetLayoutView="80" workbookViewId="0">
      <selection activeCell="K33" sqref="K3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2" t="s">
        <v>3001</v>
      </c>
      <c r="E1" s="500"/>
      <c r="F1" s="2521" t="s">
        <v>3228</v>
      </c>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839">
        <f>ROUND(B3*D3/10000,0)</f>
        <v>114329</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513</v>
      </c>
      <c r="B3" s="504">
        <f>C49</f>
        <v>50994</v>
      </c>
      <c r="C3" s="841" t="s">
        <v>716</v>
      </c>
      <c r="D3" s="840">
        <f>SUMIF('数据-汇总表'!$C19:$C33,D1,'数据-汇总表'!$E19:$E33)</f>
        <v>22420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6" t="s">
        <v>515</v>
      </c>
      <c r="B4" s="507"/>
      <c r="C4" s="3664" t="s">
        <v>516</v>
      </c>
      <c r="D4" s="3665"/>
      <c r="E4" s="3698" t="s">
        <v>517</v>
      </c>
      <c r="F4" s="3699"/>
      <c r="G4" s="3664" t="s">
        <v>518</v>
      </c>
      <c r="H4" s="3665"/>
      <c r="I4" s="3664" t="s">
        <v>519</v>
      </c>
      <c r="J4" s="3665"/>
      <c r="K4" s="508" t="s">
        <v>520</v>
      </c>
      <c r="L4" s="2012"/>
      <c r="M4" s="2013"/>
      <c r="N4" s="2013"/>
      <c r="O4" s="2013"/>
      <c r="P4" s="3666" t="s">
        <v>521</v>
      </c>
      <c r="Q4" s="3667"/>
      <c r="R4" s="3672" t="s">
        <v>517</v>
      </c>
      <c r="S4" s="3673"/>
      <c r="T4" s="3672" t="s">
        <v>518</v>
      </c>
      <c r="U4" s="3673"/>
      <c r="V4" s="3659" t="s">
        <v>519</v>
      </c>
      <c r="W4" s="3659"/>
      <c r="X4" s="1498"/>
      <c r="Y4" s="3672" t="s">
        <v>521</v>
      </c>
      <c r="Z4" s="3673"/>
      <c r="AA4" s="3661" t="s">
        <v>517</v>
      </c>
      <c r="AB4" s="3659" t="s">
        <v>518</v>
      </c>
      <c r="AC4" s="3661" t="s">
        <v>519</v>
      </c>
    </row>
    <row r="5" spans="1:29" ht="15">
      <c r="A5" s="509"/>
      <c r="B5" s="510"/>
      <c r="C5" s="3680" t="s">
        <v>2890</v>
      </c>
      <c r="D5" s="3681"/>
      <c r="E5" s="3762" t="s">
        <v>3227</v>
      </c>
      <c r="F5" s="3701"/>
      <c r="G5" s="3760" t="s">
        <v>3431</v>
      </c>
      <c r="H5" s="3681"/>
      <c r="I5" s="3760" t="s">
        <v>3429</v>
      </c>
      <c r="J5" s="3681"/>
      <c r="K5" s="508"/>
      <c r="L5" s="2012"/>
      <c r="M5" s="2013"/>
      <c r="N5" s="2013"/>
      <c r="O5" s="2013"/>
      <c r="P5" s="3668"/>
      <c r="Q5" s="3669"/>
      <c r="R5" s="3674"/>
      <c r="S5" s="3675"/>
      <c r="T5" s="3674"/>
      <c r="U5" s="3675"/>
      <c r="V5" s="3659"/>
      <c r="W5" s="3659"/>
      <c r="X5" s="1498"/>
      <c r="Y5" s="3674"/>
      <c r="Z5" s="3675"/>
      <c r="AA5" s="3662"/>
      <c r="AB5" s="3659"/>
      <c r="AC5" s="3662"/>
    </row>
    <row r="6" spans="1:29" ht="15.75" thickBot="1">
      <c r="A6" s="511"/>
      <c r="B6" s="512"/>
      <c r="C6" s="3678" t="s">
        <v>2894</v>
      </c>
      <c r="D6" s="3679"/>
      <c r="E6" s="3761" t="s">
        <v>3229</v>
      </c>
      <c r="F6" s="3697"/>
      <c r="G6" s="3759" t="s">
        <v>3252</v>
      </c>
      <c r="H6" s="3679"/>
      <c r="I6" s="3678" t="s">
        <v>2894</v>
      </c>
      <c r="J6" s="3679"/>
      <c r="K6" s="508" t="s">
        <v>522</v>
      </c>
      <c r="L6" s="2012"/>
      <c r="M6" s="2013"/>
      <c r="N6" s="2013"/>
      <c r="O6" s="2013"/>
      <c r="P6" s="3670"/>
      <c r="Q6" s="3671"/>
      <c r="R6" s="3674"/>
      <c r="S6" s="3675"/>
      <c r="T6" s="3676"/>
      <c r="U6" s="3677"/>
      <c r="V6" s="3659"/>
      <c r="W6" s="3659"/>
      <c r="X6" s="1498"/>
      <c r="Y6" s="3676"/>
      <c r="Z6" s="3677"/>
      <c r="AA6" s="3663"/>
      <c r="AB6" s="3659"/>
      <c r="AC6" s="3663"/>
    </row>
    <row r="7" spans="1:29" s="1201" customFormat="1" ht="15.75" thickBot="1">
      <c r="A7" s="2626"/>
      <c r="B7" s="2633" t="s">
        <v>523</v>
      </c>
      <c r="C7" s="513">
        <f>'数据-取费表'!B2</f>
        <v>44377</v>
      </c>
      <c r="D7" s="514">
        <v>100</v>
      </c>
      <c r="E7" s="515">
        <f>C7</f>
        <v>44377</v>
      </c>
      <c r="F7" s="516">
        <f>SUMIF(58:58,YEAR(E7)&amp;"-"&amp;MONTH(E7),59:59)</f>
        <v>100</v>
      </c>
      <c r="G7" s="515">
        <f>C7</f>
        <v>44377</v>
      </c>
      <c r="H7" s="514">
        <f>SUMIF(58:58,YEAR(G7)&amp;"-"&amp;MONTH(G7),59:59)</f>
        <v>100</v>
      </c>
      <c r="I7" s="515">
        <f>C7</f>
        <v>44377</v>
      </c>
      <c r="J7" s="514">
        <f>SUMIF(58:58,YEAR(I7)&amp;"-"&amp;MONTH(I7),59:59)</f>
        <v>100</v>
      </c>
      <c r="K7" s="518"/>
      <c r="L7" s="2014"/>
      <c r="M7" s="2015"/>
      <c r="N7" s="2015"/>
      <c r="O7" s="2015"/>
      <c r="P7" s="3689" t="s">
        <v>524</v>
      </c>
      <c r="Q7" s="3691"/>
      <c r="R7" s="1499" t="s">
        <v>8</v>
      </c>
      <c r="S7" s="1500">
        <f t="shared" ref="S7:S15" si="0">F7</f>
        <v>100</v>
      </c>
      <c r="T7" s="1499" t="s">
        <v>8</v>
      </c>
      <c r="U7" s="1500">
        <f t="shared" ref="U7:U15" si="1">H7</f>
        <v>100</v>
      </c>
      <c r="V7" s="1499" t="s">
        <v>8</v>
      </c>
      <c r="W7" s="1500">
        <f t="shared" ref="W7:W15" si="2">J7</f>
        <v>100</v>
      </c>
      <c r="X7" s="1501"/>
      <c r="Y7" s="3689" t="s">
        <v>524</v>
      </c>
      <c r="Z7" s="3690"/>
      <c r="AA7" s="1502">
        <f>D7/F7</f>
        <v>1</v>
      </c>
      <c r="AB7" s="1502">
        <f>D7/H7</f>
        <v>1</v>
      </c>
      <c r="AC7" s="1502">
        <f>D7/J7</f>
        <v>1</v>
      </c>
    </row>
    <row r="8" spans="1:29" s="1201" customFormat="1" ht="15.75" thickBot="1">
      <c r="A8" s="2627"/>
      <c r="B8" s="2634"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518"/>
      <c r="L8" s="2014"/>
      <c r="M8" s="2015"/>
      <c r="N8" s="2015"/>
      <c r="O8" s="2015"/>
      <c r="P8" s="3689" t="s">
        <v>527</v>
      </c>
      <c r="Q8" s="3690"/>
      <c r="R8" s="1499" t="s">
        <v>8</v>
      </c>
      <c r="S8" s="1500">
        <f t="shared" si="0"/>
        <v>100</v>
      </c>
      <c r="T8" s="1499" t="s">
        <v>8</v>
      </c>
      <c r="U8" s="1500">
        <f t="shared" si="1"/>
        <v>100</v>
      </c>
      <c r="V8" s="1499" t="s">
        <v>8</v>
      </c>
      <c r="W8" s="1500">
        <f t="shared" si="2"/>
        <v>100</v>
      </c>
      <c r="X8" s="1501"/>
      <c r="Y8" s="3689" t="s">
        <v>527</v>
      </c>
      <c r="Z8" s="3690"/>
      <c r="AA8" s="1502">
        <f t="shared" ref="AA8:AA46" si="3">D8/F8</f>
        <v>1</v>
      </c>
      <c r="AB8" s="1502">
        <f t="shared" ref="AB8:AB46" si="4">D8/H8</f>
        <v>1</v>
      </c>
      <c r="AC8" s="1502">
        <f t="shared" ref="AC8:AC46" si="5">D8/J8</f>
        <v>1</v>
      </c>
    </row>
    <row r="9" spans="1:29" s="1201" customFormat="1" ht="15">
      <c r="A9" s="2628"/>
      <c r="B9" s="2635" t="s">
        <v>2733</v>
      </c>
      <c r="C9" s="3376" t="s">
        <v>3226</v>
      </c>
      <c r="D9" s="252">
        <v>100</v>
      </c>
      <c r="E9" s="849" t="s">
        <v>3001</v>
      </c>
      <c r="F9" s="252">
        <f>SUMIF(63:63,E9,64:64)-SUMIF(63:63,C9,64:64)+100</f>
        <v>100</v>
      </c>
      <c r="G9" s="847" t="s">
        <v>3001</v>
      </c>
      <c r="H9" s="252">
        <f>SUMIF(63:63,G9,64:64)-SUMIF(63:63,C9,64:64)+100</f>
        <v>100</v>
      </c>
      <c r="I9" s="847" t="s">
        <v>3001</v>
      </c>
      <c r="J9" s="252">
        <f>SUMIF(63:63,I9,64:64)-SUMIF(63:63,C9,64:64)+100</f>
        <v>100</v>
      </c>
      <c r="K9" s="518"/>
      <c r="L9" s="2014"/>
      <c r="M9" s="2015"/>
      <c r="N9" s="2015"/>
      <c r="O9" s="2016"/>
      <c r="P9" s="3658" t="s">
        <v>529</v>
      </c>
      <c r="Q9" s="1132" t="str">
        <f t="shared" ref="Q9:Q15" si="6">B9</f>
        <v>用途</v>
      </c>
      <c r="R9" s="1499" t="s">
        <v>8</v>
      </c>
      <c r="S9" s="1500">
        <f t="shared" si="0"/>
        <v>100</v>
      </c>
      <c r="T9" s="1499" t="s">
        <v>8</v>
      </c>
      <c r="U9" s="1500">
        <f t="shared" si="1"/>
        <v>100</v>
      </c>
      <c r="V9" s="1499" t="s">
        <v>8</v>
      </c>
      <c r="W9" s="1500">
        <f t="shared" si="2"/>
        <v>100</v>
      </c>
      <c r="X9" s="1501"/>
      <c r="Y9" s="3604" t="s">
        <v>530</v>
      </c>
      <c r="Z9" s="1131" t="str">
        <f t="shared" ref="Z9:Z15" si="7">Q9</f>
        <v>用途</v>
      </c>
      <c r="AA9" s="1502">
        <f t="shared" si="3"/>
        <v>1</v>
      </c>
      <c r="AB9" s="1502">
        <f t="shared" si="4"/>
        <v>1</v>
      </c>
      <c r="AC9" s="1502">
        <f t="shared" si="5"/>
        <v>1</v>
      </c>
    </row>
    <row r="10" spans="1:29" s="1290" customFormat="1" ht="27">
      <c r="A10" s="2629"/>
      <c r="B10" s="2634" t="s">
        <v>2734</v>
      </c>
      <c r="C10" s="850" t="s">
        <v>3088</v>
      </c>
      <c r="D10" s="253">
        <v>100</v>
      </c>
      <c r="E10" s="850" t="s">
        <v>3088</v>
      </c>
      <c r="F10" s="253">
        <f>SUMIF(65:65,E10,66:66)-SUMIF(65:65,C10,66:66)+100</f>
        <v>100</v>
      </c>
      <c r="G10" s="850" t="s">
        <v>3088</v>
      </c>
      <c r="H10" s="253">
        <f>SUMIF(65:65,G10,66:66)-SUMIF(65:65,C10,66:66)+100</f>
        <v>100</v>
      </c>
      <c r="I10" s="850" t="s">
        <v>3088</v>
      </c>
      <c r="J10" s="253">
        <f>SUMIF(65:65,I10,66:66)-SUMIF(65:65,C10,66:66)+100</f>
        <v>100</v>
      </c>
      <c r="K10" s="578"/>
      <c r="L10" s="2017"/>
      <c r="M10" s="2056"/>
      <c r="N10" s="2056"/>
      <c r="O10" s="2018"/>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75" thickBot="1">
      <c r="A11" s="2630"/>
      <c r="B11" s="2634" t="s">
        <v>2735</v>
      </c>
      <c r="C11" s="527">
        <f>'数据-汇总表'!I4</f>
        <v>7.86</v>
      </c>
      <c r="D11" s="253">
        <v>100</v>
      </c>
      <c r="E11" s="527"/>
      <c r="F11" s="253">
        <f>LOOKUP(E11,68:68,69:69)-LOOKUP(C11,68:68,69:69)+100</f>
        <v>100</v>
      </c>
      <c r="G11" s="528"/>
      <c r="H11" s="253">
        <f>LOOKUP(G11,68:68,69:69)-LOOKUP(C11,68:68,69:69)+100</f>
        <v>100</v>
      </c>
      <c r="I11" s="527"/>
      <c r="J11" s="253">
        <f>LOOKUP(I11,68:68,69:69)-LOOKUP(C11,68:68,69:69)+100</f>
        <v>100</v>
      </c>
      <c r="K11" s="578"/>
      <c r="L11" s="2019"/>
      <c r="M11" s="2013"/>
      <c r="N11" s="2013"/>
      <c r="O11" s="2020"/>
      <c r="P11" s="3658"/>
      <c r="Q11" s="1132" t="str">
        <f t="shared" si="6"/>
        <v>容积率</v>
      </c>
      <c r="R11" s="1499" t="s">
        <v>8</v>
      </c>
      <c r="S11" s="1500">
        <f t="shared" si="0"/>
        <v>100</v>
      </c>
      <c r="T11" s="1499" t="s">
        <v>8</v>
      </c>
      <c r="U11" s="1500">
        <f t="shared" si="1"/>
        <v>100</v>
      </c>
      <c r="V11" s="1499" t="s">
        <v>8</v>
      </c>
      <c r="W11" s="1500">
        <f t="shared" si="2"/>
        <v>100</v>
      </c>
      <c r="X11" s="1501"/>
      <c r="Y11" s="3604"/>
      <c r="Z11" s="1131" t="str">
        <f t="shared" si="7"/>
        <v>容积率</v>
      </c>
      <c r="AA11" s="1502">
        <f t="shared" si="3"/>
        <v>1</v>
      </c>
      <c r="AB11" s="1502">
        <f t="shared" si="4"/>
        <v>1</v>
      </c>
      <c r="AC11" s="1502">
        <f t="shared" si="5"/>
        <v>1</v>
      </c>
    </row>
    <row r="12" spans="1:29" s="1201" customFormat="1" ht="15" hidden="1">
      <c r="A12" s="2631"/>
      <c r="B12" s="2637">
        <v>111</v>
      </c>
      <c r="C12" s="522"/>
      <c r="D12" s="532">
        <v>100</v>
      </c>
      <c r="E12" s="533"/>
      <c r="F12" s="253">
        <f>SUMIF(70:70,E12,71:71)-SUMIF(70:70,C12,71:71)+100</f>
        <v>100</v>
      </c>
      <c r="G12" s="900"/>
      <c r="H12" s="253">
        <f>SUMIF(70:70,G12,71:71)-SUMIF(70:70,C12,71:71)+100</f>
        <v>100</v>
      </c>
      <c r="I12" s="533"/>
      <c r="J12" s="253">
        <f>SUMIF(70:70,I12,71:71)-SUMIF(70:70,C12,71:71)+100</f>
        <v>100</v>
      </c>
      <c r="K12" s="575"/>
      <c r="L12" s="2014"/>
      <c r="M12" s="2015"/>
      <c r="N12" s="2015"/>
      <c r="O12" s="2016"/>
      <c r="P12" s="3658"/>
      <c r="Q12" s="1132">
        <f t="shared" si="6"/>
        <v>111</v>
      </c>
      <c r="R12" s="1499" t="s">
        <v>8</v>
      </c>
      <c r="S12" s="1500">
        <f t="shared" si="0"/>
        <v>100</v>
      </c>
      <c r="T12" s="1499" t="s">
        <v>8</v>
      </c>
      <c r="U12" s="1500">
        <f t="shared" si="1"/>
        <v>100</v>
      </c>
      <c r="V12" s="1499" t="s">
        <v>8</v>
      </c>
      <c r="W12" s="1500">
        <f t="shared" si="2"/>
        <v>100</v>
      </c>
      <c r="X12" s="1501"/>
      <c r="Y12" s="3604"/>
      <c r="Z12" s="1131">
        <f t="shared" si="7"/>
        <v>111</v>
      </c>
      <c r="AA12" s="1502">
        <f>D12/F12</f>
        <v>1</v>
      </c>
      <c r="AB12" s="1502">
        <f>D12/H12</f>
        <v>1</v>
      </c>
      <c r="AC12" s="1502">
        <f>D12/J12</f>
        <v>1</v>
      </c>
    </row>
    <row r="13" spans="1:29" ht="15" hidden="1">
      <c r="A13" s="2631"/>
      <c r="B13" s="2637">
        <v>111</v>
      </c>
      <c r="C13" s="533"/>
      <c r="D13" s="534">
        <v>100</v>
      </c>
      <c r="E13" s="533"/>
      <c r="F13" s="253">
        <f>SUMIF(72:72,E13,73:73)-SUMIF(72:72,C13,73:73)+100</f>
        <v>100</v>
      </c>
      <c r="G13" s="900"/>
      <c r="H13" s="534">
        <f>SUMIF(72:72,G13,73:73)-SUMIF(72:72,C13,73:73)+100</f>
        <v>100</v>
      </c>
      <c r="I13" s="533"/>
      <c r="J13" s="534">
        <f>SUMIF(72:72,I13,73:73)-SUMIF(72:72,C13,73:73)+100</f>
        <v>100</v>
      </c>
      <c r="K13" s="575"/>
      <c r="L13" s="2021"/>
      <c r="M13" s="2013"/>
      <c r="N13" s="2013"/>
      <c r="O13" s="2020"/>
      <c r="P13" s="3658"/>
      <c r="Q13" s="1132">
        <f t="shared" si="6"/>
        <v>111</v>
      </c>
      <c r="R13" s="1499" t="s">
        <v>8</v>
      </c>
      <c r="S13" s="1500">
        <f t="shared" si="0"/>
        <v>100</v>
      </c>
      <c r="T13" s="1499" t="s">
        <v>8</v>
      </c>
      <c r="U13" s="1500">
        <f t="shared" si="1"/>
        <v>100</v>
      </c>
      <c r="V13" s="1499" t="s">
        <v>8</v>
      </c>
      <c r="W13" s="1500">
        <f t="shared" si="2"/>
        <v>100</v>
      </c>
      <c r="X13" s="1501"/>
      <c r="Y13" s="3604"/>
      <c r="Z13" s="1131">
        <f t="shared" si="7"/>
        <v>111</v>
      </c>
      <c r="AA13" s="1502">
        <f t="shared" si="3"/>
        <v>1</v>
      </c>
      <c r="AB13" s="1502">
        <f t="shared" si="4"/>
        <v>1</v>
      </c>
      <c r="AC13" s="1502">
        <f t="shared" si="5"/>
        <v>1</v>
      </c>
    </row>
    <row r="14" spans="1:29" ht="15.75" hidden="1" thickBot="1">
      <c r="A14" s="2632"/>
      <c r="B14" s="2638">
        <v>111</v>
      </c>
      <c r="C14" s="539"/>
      <c r="D14" s="540">
        <v>100</v>
      </c>
      <c r="E14" s="539"/>
      <c r="F14" s="540">
        <f>SUMIF(74:74,E14,75:75)-SUMIF(74:74,C14,75:75)+100</f>
        <v>100</v>
      </c>
      <c r="G14" s="900"/>
      <c r="H14" s="540">
        <f>SUMIF(74:74,G14,75:75)-SUMIF(74:74,C14,75:75)+100</f>
        <v>100</v>
      </c>
      <c r="I14" s="533"/>
      <c r="J14" s="540">
        <f>SUMIF(74:74,I14,75:75)-SUMIF(74:74,C14,75:75)+100</f>
        <v>100</v>
      </c>
      <c r="K14" s="575"/>
      <c r="L14" s="2021"/>
      <c r="M14" s="2013"/>
      <c r="N14" s="2013"/>
      <c r="O14" s="2020"/>
      <c r="P14" s="3658"/>
      <c r="Q14" s="1132">
        <f t="shared" si="6"/>
        <v>111</v>
      </c>
      <c r="R14" s="1499" t="s">
        <v>8</v>
      </c>
      <c r="S14" s="1500">
        <f t="shared" si="0"/>
        <v>100</v>
      </c>
      <c r="T14" s="1499" t="s">
        <v>8</v>
      </c>
      <c r="U14" s="1500">
        <f t="shared" si="1"/>
        <v>100</v>
      </c>
      <c r="V14" s="1499" t="s">
        <v>8</v>
      </c>
      <c r="W14" s="1500">
        <f t="shared" si="2"/>
        <v>100</v>
      </c>
      <c r="X14" s="1501"/>
      <c r="Y14" s="3604"/>
      <c r="Z14" s="1131">
        <f t="shared" si="7"/>
        <v>111</v>
      </c>
      <c r="AA14" s="1502">
        <f t="shared" si="3"/>
        <v>1</v>
      </c>
      <c r="AB14" s="1502">
        <f t="shared" si="4"/>
        <v>1</v>
      </c>
      <c r="AC14" s="1502">
        <f t="shared" si="5"/>
        <v>1</v>
      </c>
    </row>
    <row r="15" spans="1:29" ht="71.25">
      <c r="A15" s="2624" t="s">
        <v>2731</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1"/>
      <c r="M15" s="2013"/>
      <c r="N15" s="2013"/>
      <c r="O15" s="2020"/>
      <c r="P15" s="3692" t="s">
        <v>534</v>
      </c>
      <c r="Q15" s="1503" t="str">
        <f t="shared" si="6"/>
        <v>商业繁华度</v>
      </c>
      <c r="R15" s="1504" t="s">
        <v>8</v>
      </c>
      <c r="S15" s="1505">
        <f t="shared" si="0"/>
        <v>100</v>
      </c>
      <c r="T15" s="1504" t="s">
        <v>8</v>
      </c>
      <c r="U15" s="1505">
        <f t="shared" si="1"/>
        <v>100</v>
      </c>
      <c r="V15" s="1504" t="s">
        <v>8</v>
      </c>
      <c r="W15" s="1505">
        <f t="shared" si="2"/>
        <v>100</v>
      </c>
      <c r="X15" s="1498"/>
      <c r="Y15" s="3692" t="s">
        <v>534</v>
      </c>
      <c r="Z15" s="1506" t="str">
        <f t="shared" si="7"/>
        <v>商业繁华度</v>
      </c>
      <c r="AA15" s="1507">
        <f t="shared" si="3"/>
        <v>1</v>
      </c>
      <c r="AB15" s="1507">
        <f t="shared" si="4"/>
        <v>1</v>
      </c>
      <c r="AC15" s="1507">
        <f t="shared" si="5"/>
        <v>1</v>
      </c>
    </row>
    <row r="16" spans="1:29" ht="15">
      <c r="A16" s="526"/>
      <c r="B16" s="858"/>
      <c r="C16" s="570" t="s">
        <v>3074</v>
      </c>
      <c r="D16" s="549"/>
      <c r="E16" s="570" t="s">
        <v>3074</v>
      </c>
      <c r="F16" s="551"/>
      <c r="G16" s="570" t="s">
        <v>3074</v>
      </c>
      <c r="H16" s="553"/>
      <c r="I16" s="570" t="s">
        <v>3074</v>
      </c>
      <c r="J16" s="549"/>
      <c r="K16" s="888"/>
      <c r="L16" s="2021"/>
      <c r="M16" s="2013"/>
      <c r="N16" s="2013"/>
      <c r="O16" s="2020"/>
      <c r="P16" s="3693"/>
      <c r="Q16" s="1503"/>
      <c r="R16" s="1504"/>
      <c r="S16" s="1505"/>
      <c r="T16" s="1504"/>
      <c r="U16" s="1505"/>
      <c r="V16" s="1504"/>
      <c r="W16" s="1505"/>
      <c r="X16" s="1498"/>
      <c r="Y16" s="3693"/>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1"/>
      <c r="M17" s="2013"/>
      <c r="N17" s="2013"/>
      <c r="O17" s="2020"/>
      <c r="P17" s="3693"/>
      <c r="Q17" s="1503" t="str">
        <f>B17</f>
        <v>交通便捷度</v>
      </c>
      <c r="R17" s="1504" t="s">
        <v>8</v>
      </c>
      <c r="S17" s="1505">
        <f>F17</f>
        <v>100</v>
      </c>
      <c r="T17" s="1504" t="s">
        <v>8</v>
      </c>
      <c r="U17" s="1505">
        <f>H17</f>
        <v>100</v>
      </c>
      <c r="V17" s="1504" t="s">
        <v>8</v>
      </c>
      <c r="W17" s="1505">
        <f>J17</f>
        <v>100</v>
      </c>
      <c r="X17" s="1498"/>
      <c r="Y17" s="3693"/>
      <c r="Z17" s="1506" t="str">
        <f>Q17</f>
        <v>交通便捷度</v>
      </c>
      <c r="AA17" s="1507">
        <f t="shared" si="3"/>
        <v>1</v>
      </c>
      <c r="AB17" s="1507">
        <f t="shared" si="4"/>
        <v>1</v>
      </c>
      <c r="AC17" s="1507">
        <f t="shared" si="5"/>
        <v>1</v>
      </c>
    </row>
    <row r="18" spans="1:29" ht="15">
      <c r="A18" s="526"/>
      <c r="B18" s="589"/>
      <c r="C18" s="570" t="s">
        <v>3074</v>
      </c>
      <c r="D18" s="553"/>
      <c r="E18" s="570" t="s">
        <v>3074</v>
      </c>
      <c r="F18" s="557"/>
      <c r="G18" s="570" t="s">
        <v>3074</v>
      </c>
      <c r="H18" s="549"/>
      <c r="I18" s="570" t="s">
        <v>3074</v>
      </c>
      <c r="J18" s="549"/>
      <c r="K18" s="888"/>
      <c r="L18" s="2021"/>
      <c r="M18" s="2013"/>
      <c r="N18" s="2013"/>
      <c r="O18" s="2020"/>
      <c r="P18" s="3693"/>
      <c r="Q18" s="1503"/>
      <c r="R18" s="1504"/>
      <c r="S18" s="1505"/>
      <c r="T18" s="1504"/>
      <c r="U18" s="1505"/>
      <c r="V18" s="1504"/>
      <c r="W18" s="1505"/>
      <c r="X18" s="1498"/>
      <c r="Y18" s="3693"/>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1"/>
      <c r="M19" s="2013"/>
      <c r="N19" s="2013"/>
      <c r="O19" s="2020"/>
      <c r="P19" s="3693"/>
      <c r="Q19" s="1503" t="str">
        <f>B19</f>
        <v>公共配套设施</v>
      </c>
      <c r="R19" s="1504" t="s">
        <v>8</v>
      </c>
      <c r="S19" s="1505">
        <f>F19</f>
        <v>100</v>
      </c>
      <c r="T19" s="1504" t="s">
        <v>8</v>
      </c>
      <c r="U19" s="1505">
        <f>H19</f>
        <v>100</v>
      </c>
      <c r="V19" s="1504" t="s">
        <v>8</v>
      </c>
      <c r="W19" s="1505">
        <f>J19</f>
        <v>100</v>
      </c>
      <c r="X19" s="1498"/>
      <c r="Y19" s="3693"/>
      <c r="Z19" s="1506" t="str">
        <f>Q19</f>
        <v>公共配套设施</v>
      </c>
      <c r="AA19" s="1507">
        <f t="shared" si="3"/>
        <v>1</v>
      </c>
      <c r="AB19" s="1507">
        <f t="shared" si="4"/>
        <v>1</v>
      </c>
      <c r="AC19" s="1507">
        <f t="shared" si="5"/>
        <v>1</v>
      </c>
    </row>
    <row r="20" spans="1:29" ht="15">
      <c r="A20" s="526"/>
      <c r="B20" s="589"/>
      <c r="C20" s="570" t="s">
        <v>3074</v>
      </c>
      <c r="D20" s="549"/>
      <c r="E20" s="570" t="s">
        <v>3074</v>
      </c>
      <c r="F20" s="551"/>
      <c r="G20" s="570" t="s">
        <v>3074</v>
      </c>
      <c r="H20" s="549"/>
      <c r="I20" s="570" t="s">
        <v>3074</v>
      </c>
      <c r="J20" s="549"/>
      <c r="K20" s="888"/>
      <c r="L20" s="2021"/>
      <c r="M20" s="2013"/>
      <c r="N20" s="2013"/>
      <c r="O20" s="2020"/>
      <c r="P20" s="3693"/>
      <c r="Q20" s="1503"/>
      <c r="R20" s="1504"/>
      <c r="S20" s="1505"/>
      <c r="T20" s="1504"/>
      <c r="U20" s="1505"/>
      <c r="V20" s="1504"/>
      <c r="W20" s="1505"/>
      <c r="X20" s="1498"/>
      <c r="Y20" s="3693"/>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1"/>
      <c r="M21" s="2013"/>
      <c r="N21" s="2013"/>
      <c r="O21" s="2020"/>
      <c r="P21" s="3693"/>
      <c r="Q21" s="2426" t="str">
        <f>B21</f>
        <v>基础设施水平</v>
      </c>
      <c r="R21" s="1504" t="s">
        <v>8</v>
      </c>
      <c r="S21" s="1505">
        <f>F21</f>
        <v>100</v>
      </c>
      <c r="T21" s="1504" t="s">
        <v>8</v>
      </c>
      <c r="U21" s="1505">
        <f>H21</f>
        <v>100</v>
      </c>
      <c r="V21" s="1504" t="s">
        <v>8</v>
      </c>
      <c r="W21" s="1505">
        <f>J21</f>
        <v>100</v>
      </c>
      <c r="X21" s="2428"/>
      <c r="Y21" s="3693"/>
      <c r="Z21" s="2427" t="str">
        <f>Q21</f>
        <v>基础设施水平</v>
      </c>
      <c r="AA21" s="1507">
        <f t="shared" ref="AA21" si="8">D21/F21</f>
        <v>1</v>
      </c>
      <c r="AB21" s="1507">
        <f t="shared" ref="AB21" si="9">D21/H21</f>
        <v>1</v>
      </c>
      <c r="AC21" s="1507">
        <f t="shared" ref="AC21" si="10">D21/J21</f>
        <v>1</v>
      </c>
    </row>
    <row r="22" spans="1:29" ht="15">
      <c r="A22" s="526"/>
      <c r="B22" s="910"/>
      <c r="C22" s="570" t="s">
        <v>3074</v>
      </c>
      <c r="D22" s="549"/>
      <c r="E22" s="570" t="s">
        <v>3074</v>
      </c>
      <c r="F22" s="551"/>
      <c r="G22" s="570" t="s">
        <v>3074</v>
      </c>
      <c r="H22" s="549"/>
      <c r="I22" s="570" t="s">
        <v>3074</v>
      </c>
      <c r="J22" s="549"/>
      <c r="K22" s="2443"/>
      <c r="L22" s="2021"/>
      <c r="M22" s="2013"/>
      <c r="N22" s="2013"/>
      <c r="O22" s="2020"/>
      <c r="P22" s="3693"/>
      <c r="Q22" s="2426"/>
      <c r="R22" s="1504"/>
      <c r="S22" s="1505"/>
      <c r="T22" s="1504"/>
      <c r="U22" s="1505"/>
      <c r="V22" s="1504"/>
      <c r="W22" s="1505"/>
      <c r="X22" s="2428"/>
      <c r="Y22" s="3693"/>
      <c r="Z22" s="2427"/>
      <c r="AA22" s="1507">
        <v>1</v>
      </c>
      <c r="AB22" s="1507">
        <v>1</v>
      </c>
      <c r="AC22" s="1507">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1"/>
      <c r="M23" s="2013"/>
      <c r="N23" s="2013"/>
      <c r="O23" s="2020"/>
      <c r="P23" s="3693"/>
      <c r="Q23" s="1503" t="str">
        <f>B23</f>
        <v>自然及人文环境</v>
      </c>
      <c r="R23" s="1504" t="s">
        <v>8</v>
      </c>
      <c r="S23" s="1505">
        <f>F23</f>
        <v>100</v>
      </c>
      <c r="T23" s="1504" t="s">
        <v>8</v>
      </c>
      <c r="U23" s="1505">
        <f>H23</f>
        <v>100</v>
      </c>
      <c r="V23" s="1504" t="s">
        <v>8</v>
      </c>
      <c r="W23" s="1505">
        <f>J23</f>
        <v>100</v>
      </c>
      <c r="X23" s="1498"/>
      <c r="Y23" s="3693"/>
      <c r="Z23" s="1506" t="str">
        <f>Q23</f>
        <v>自然及人文环境</v>
      </c>
      <c r="AA23" s="1507">
        <f t="shared" si="3"/>
        <v>1</v>
      </c>
      <c r="AB23" s="1507">
        <f t="shared" si="4"/>
        <v>1</v>
      </c>
      <c r="AC23" s="1507">
        <f t="shared" si="5"/>
        <v>1</v>
      </c>
    </row>
    <row r="24" spans="1:29" ht="15">
      <c r="A24" s="526"/>
      <c r="B24" s="589"/>
      <c r="C24" s="570" t="s">
        <v>3074</v>
      </c>
      <c r="D24" s="549"/>
      <c r="E24" s="570" t="s">
        <v>3074</v>
      </c>
      <c r="F24" s="551"/>
      <c r="G24" s="570" t="s">
        <v>3074</v>
      </c>
      <c r="H24" s="549"/>
      <c r="I24" s="570" t="s">
        <v>3074</v>
      </c>
      <c r="J24" s="549"/>
      <c r="K24" s="888"/>
      <c r="L24" s="2021"/>
      <c r="M24" s="2013"/>
      <c r="N24" s="2013"/>
      <c r="O24" s="2020"/>
      <c r="P24" s="3693"/>
      <c r="Q24" s="1503"/>
      <c r="R24" s="1504"/>
      <c r="S24" s="1505"/>
      <c r="T24" s="1504"/>
      <c r="U24" s="1505"/>
      <c r="V24" s="1504"/>
      <c r="W24" s="1505"/>
      <c r="X24" s="1498"/>
      <c r="Y24" s="3693"/>
      <c r="Z24" s="1506"/>
      <c r="AA24" s="1507">
        <v>1</v>
      </c>
      <c r="AB24" s="1507">
        <v>1</v>
      </c>
      <c r="AC24" s="1507">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1"/>
      <c r="M25" s="2013"/>
      <c r="N25" s="2013"/>
      <c r="O25" s="2020"/>
      <c r="P25" s="3693"/>
      <c r="Q25" s="1503" t="str">
        <f t="shared" ref="Q25:Q46" si="11">B25</f>
        <v>临街状况</v>
      </c>
      <c r="R25" s="1504" t="s">
        <v>8</v>
      </c>
      <c r="S25" s="1505">
        <f>F25</f>
        <v>100</v>
      </c>
      <c r="T25" s="1504" t="s">
        <v>8</v>
      </c>
      <c r="U25" s="1505">
        <f>H25</f>
        <v>100</v>
      </c>
      <c r="V25" s="1504" t="s">
        <v>8</v>
      </c>
      <c r="W25" s="1505">
        <f>J25</f>
        <v>100</v>
      </c>
      <c r="X25" s="1498"/>
      <c r="Y25" s="3693"/>
      <c r="Z25" s="1506" t="str">
        <f>Q25</f>
        <v>临街状况</v>
      </c>
      <c r="AA25" s="1507">
        <f t="shared" si="3"/>
        <v>1</v>
      </c>
      <c r="AB25" s="1507">
        <f t="shared" si="4"/>
        <v>1</v>
      </c>
      <c r="AC25" s="1507">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1"/>
      <c r="M26" s="2013"/>
      <c r="N26" s="2013"/>
      <c r="O26" s="2020"/>
      <c r="P26" s="3693"/>
      <c r="Q26" s="1503" t="str">
        <f t="shared" si="11"/>
        <v>平面位置/可视性</v>
      </c>
      <c r="R26" s="1504" t="s">
        <v>8</v>
      </c>
      <c r="S26" s="1505">
        <f>F26</f>
        <v>100</v>
      </c>
      <c r="T26" s="1504" t="s">
        <v>8</v>
      </c>
      <c r="U26" s="1505">
        <f>H26</f>
        <v>100</v>
      </c>
      <c r="V26" s="1504" t="s">
        <v>8</v>
      </c>
      <c r="W26" s="1505">
        <f>J26</f>
        <v>100</v>
      </c>
      <c r="X26" s="1498"/>
      <c r="Y26" s="3693"/>
      <c r="Z26" s="1506" t="str">
        <f>Q26</f>
        <v>平面位置/可视性</v>
      </c>
      <c r="AA26" s="1507">
        <f t="shared" si="3"/>
        <v>1</v>
      </c>
      <c r="AB26" s="1507">
        <f t="shared" si="4"/>
        <v>1</v>
      </c>
      <c r="AC26" s="1507">
        <f t="shared" si="5"/>
        <v>1</v>
      </c>
    </row>
    <row r="27" spans="1:29" s="1201"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4"/>
      <c r="M27" s="2015"/>
      <c r="N27" s="2015"/>
      <c r="O27" s="2016"/>
      <c r="P27" s="3693"/>
      <c r="Q27" s="1132" t="str">
        <f t="shared" si="11"/>
        <v>人流量</v>
      </c>
      <c r="R27" s="1499" t="s">
        <v>8</v>
      </c>
      <c r="S27" s="1500">
        <f>F27</f>
        <v>100</v>
      </c>
      <c r="T27" s="1499" t="s">
        <v>8</v>
      </c>
      <c r="U27" s="1500">
        <f>H27</f>
        <v>100</v>
      </c>
      <c r="V27" s="1499" t="s">
        <v>8</v>
      </c>
      <c r="W27" s="1500">
        <f>J27</f>
        <v>100</v>
      </c>
      <c r="X27" s="1501"/>
      <c r="Y27" s="3693"/>
      <c r="Z27" s="1131" t="str">
        <f>Q27</f>
        <v>人流量</v>
      </c>
      <c r="AA27" s="1507">
        <f>D27/F27</f>
        <v>1</v>
      </c>
      <c r="AB27" s="1507">
        <f>D27/H27</f>
        <v>1</v>
      </c>
      <c r="AC27" s="1507">
        <f>D27/J27</f>
        <v>1</v>
      </c>
    </row>
    <row r="28" spans="1:29" ht="15.75" thickBot="1">
      <c r="A28" s="526"/>
      <c r="B28" s="521" t="s">
        <v>755</v>
      </c>
      <c r="C28" s="577" t="s">
        <v>3238</v>
      </c>
      <c r="D28" s="534">
        <v>100</v>
      </c>
      <c r="E28" s="577" t="s">
        <v>3238</v>
      </c>
      <c r="F28" s="569">
        <f>SUMIF(92:92,E28,93:93)-SUMIF(92:92,C28,93:93)+100</f>
        <v>100</v>
      </c>
      <c r="G28" s="577" t="s">
        <v>3238</v>
      </c>
      <c r="H28" s="534">
        <f>SUMIF(92:92,G28,93:93)-SUMIF(92:92,C28,93:93)+100</f>
        <v>100</v>
      </c>
      <c r="I28" s="577" t="s">
        <v>3238</v>
      </c>
      <c r="J28" s="534">
        <f>SUMIF(92:92,I28,93:93)-SUMIF(92:92,C28,93:93)+100</f>
        <v>100</v>
      </c>
      <c r="K28" s="575"/>
      <c r="L28" s="2021"/>
      <c r="M28" s="2013"/>
      <c r="N28" s="2013"/>
      <c r="O28" s="2020"/>
      <c r="P28" s="3693"/>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693"/>
      <c r="Z28" s="1506" t="str">
        <f t="shared" ref="Z28:Z46" si="15">Q28</f>
        <v>楼层</v>
      </c>
      <c r="AA28" s="1507">
        <f t="shared" si="3"/>
        <v>1</v>
      </c>
      <c r="AB28" s="1507">
        <f t="shared" si="4"/>
        <v>1</v>
      </c>
      <c r="AC28" s="1507">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1"/>
      <c r="M29" s="2013"/>
      <c r="N29" s="2013"/>
      <c r="O29" s="2020"/>
      <c r="P29" s="3693"/>
      <c r="Q29" s="1503">
        <f t="shared" si="11"/>
        <v>111</v>
      </c>
      <c r="R29" s="1504" t="s">
        <v>8</v>
      </c>
      <c r="S29" s="1505">
        <f t="shared" si="12"/>
        <v>100</v>
      </c>
      <c r="T29" s="1504" t="s">
        <v>8</v>
      </c>
      <c r="U29" s="1505">
        <f t="shared" si="13"/>
        <v>100</v>
      </c>
      <c r="V29" s="1504" t="s">
        <v>8</v>
      </c>
      <c r="W29" s="1505">
        <f t="shared" si="14"/>
        <v>100</v>
      </c>
      <c r="X29" s="1498"/>
      <c r="Y29" s="3693"/>
      <c r="Z29" s="1506">
        <f t="shared" si="15"/>
        <v>111</v>
      </c>
      <c r="AA29" s="1507">
        <f t="shared" si="3"/>
        <v>1</v>
      </c>
      <c r="AB29" s="1507">
        <f t="shared" si="4"/>
        <v>1</v>
      </c>
      <c r="AC29" s="1507">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1"/>
      <c r="M30" s="2013"/>
      <c r="N30" s="2013"/>
      <c r="O30" s="2020"/>
      <c r="P30" s="3693"/>
      <c r="Q30" s="1503">
        <f t="shared" si="11"/>
        <v>111</v>
      </c>
      <c r="R30" s="1504" t="s">
        <v>8</v>
      </c>
      <c r="S30" s="1505">
        <f t="shared" si="12"/>
        <v>100</v>
      </c>
      <c r="T30" s="1504" t="s">
        <v>8</v>
      </c>
      <c r="U30" s="1505">
        <f t="shared" si="13"/>
        <v>100</v>
      </c>
      <c r="V30" s="1504" t="s">
        <v>8</v>
      </c>
      <c r="W30" s="1505">
        <f t="shared" si="14"/>
        <v>100</v>
      </c>
      <c r="X30" s="1498"/>
      <c r="Y30" s="3693"/>
      <c r="Z30" s="1506">
        <f t="shared" si="15"/>
        <v>111</v>
      </c>
      <c r="AA30" s="1507">
        <f t="shared" si="3"/>
        <v>1</v>
      </c>
      <c r="AB30" s="1507">
        <f t="shared" si="4"/>
        <v>1</v>
      </c>
      <c r="AC30" s="1507">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1"/>
      <c r="M31" s="2013"/>
      <c r="N31" s="2013"/>
      <c r="O31" s="2020"/>
      <c r="P31" s="3693"/>
      <c r="Q31" s="1503">
        <f t="shared" si="11"/>
        <v>111</v>
      </c>
      <c r="R31" s="1504" t="s">
        <v>8</v>
      </c>
      <c r="S31" s="1505">
        <f t="shared" si="12"/>
        <v>100</v>
      </c>
      <c r="T31" s="1504" t="s">
        <v>8</v>
      </c>
      <c r="U31" s="1505">
        <f t="shared" si="13"/>
        <v>100</v>
      </c>
      <c r="V31" s="1504" t="s">
        <v>8</v>
      </c>
      <c r="W31" s="1505">
        <f t="shared" si="14"/>
        <v>100</v>
      </c>
      <c r="X31" s="1498"/>
      <c r="Y31" s="3693"/>
      <c r="Z31" s="1506">
        <f t="shared" si="15"/>
        <v>111</v>
      </c>
      <c r="AA31" s="1507">
        <f t="shared" si="3"/>
        <v>1</v>
      </c>
      <c r="AB31" s="1507">
        <f t="shared" si="4"/>
        <v>1</v>
      </c>
      <c r="AC31" s="1507">
        <f t="shared" si="5"/>
        <v>1</v>
      </c>
    </row>
    <row r="32" spans="1:29" ht="15">
      <c r="A32" s="2621" t="s">
        <v>2732</v>
      </c>
      <c r="B32" s="170" t="s">
        <v>756</v>
      </c>
      <c r="C32" s="867" t="s">
        <v>3218</v>
      </c>
      <c r="D32" s="591">
        <v>100</v>
      </c>
      <c r="E32" s="867" t="s">
        <v>3245</v>
      </c>
      <c r="F32" s="569">
        <f>SUMIF(100:100,E32,101:101)-SUMIF(100:100,C32,101:101)+100</f>
        <v>105</v>
      </c>
      <c r="G32" s="867" t="s">
        <v>3248</v>
      </c>
      <c r="H32" s="534">
        <f>SUMIF(100:100,G32,101:101)-SUMIF(100:100,C32,101:101)+100</f>
        <v>95</v>
      </c>
      <c r="I32" s="867" t="s">
        <v>3248</v>
      </c>
      <c r="J32" s="591">
        <f>SUMIF(100:100,I32,101:101)-SUMIF(100:100,C32,101:101)+100</f>
        <v>95</v>
      </c>
      <c r="K32" s="578">
        <v>5</v>
      </c>
      <c r="L32" s="2021"/>
      <c r="M32" s="2013"/>
      <c r="N32" s="2013"/>
      <c r="O32" s="2020"/>
      <c r="P32" s="3694" t="s">
        <v>544</v>
      </c>
      <c r="Q32" s="1503" t="str">
        <f t="shared" si="11"/>
        <v>商业类型</v>
      </c>
      <c r="R32" s="1504" t="s">
        <v>8</v>
      </c>
      <c r="S32" s="1505">
        <f t="shared" si="12"/>
        <v>105</v>
      </c>
      <c r="T32" s="1504" t="s">
        <v>8</v>
      </c>
      <c r="U32" s="1505">
        <f t="shared" si="13"/>
        <v>95</v>
      </c>
      <c r="V32" s="1504" t="s">
        <v>8</v>
      </c>
      <c r="W32" s="1505">
        <f t="shared" si="14"/>
        <v>95</v>
      </c>
      <c r="X32" s="1498"/>
      <c r="Y32" s="3695" t="s">
        <v>544</v>
      </c>
      <c r="Z32" s="1506" t="str">
        <f t="shared" si="15"/>
        <v>商业类型</v>
      </c>
      <c r="AA32" s="1507">
        <f t="shared" si="3"/>
        <v>0.95238095238095233</v>
      </c>
      <c r="AB32" s="1507">
        <f t="shared" si="4"/>
        <v>1.0526315789473684</v>
      </c>
      <c r="AC32" s="1507">
        <f t="shared" si="5"/>
        <v>1.0526315789473684</v>
      </c>
    </row>
    <row r="33" spans="1:29" s="1291" customFormat="1" ht="15">
      <c r="A33" s="597"/>
      <c r="B33" s="521" t="s">
        <v>720</v>
      </c>
      <c r="C33" s="869">
        <f>'数据-基础表'!M13</f>
        <v>16906.939999999999</v>
      </c>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19"/>
      <c r="M33" s="2049"/>
      <c r="N33" s="2049"/>
      <c r="O33" s="2022"/>
      <c r="P33" s="3695"/>
      <c r="Q33" s="1532" t="str">
        <f t="shared" si="11"/>
        <v>项目建筑规模</v>
      </c>
      <c r="R33" s="1508" t="s">
        <v>8</v>
      </c>
      <c r="S33" s="1509">
        <f t="shared" si="12"/>
        <v>100</v>
      </c>
      <c r="T33" s="1508" t="s">
        <v>8</v>
      </c>
      <c r="U33" s="1509">
        <f t="shared" si="13"/>
        <v>100</v>
      </c>
      <c r="V33" s="1508" t="s">
        <v>8</v>
      </c>
      <c r="W33" s="1509">
        <f t="shared" si="14"/>
        <v>100</v>
      </c>
      <c r="X33" s="1510"/>
      <c r="Y33" s="3695"/>
      <c r="Z33" s="1511" t="str">
        <f t="shared" si="15"/>
        <v>项目建筑规模</v>
      </c>
      <c r="AA33" s="1507">
        <f t="shared" si="3"/>
        <v>1</v>
      </c>
      <c r="AB33" s="1507">
        <f t="shared" si="4"/>
        <v>1</v>
      </c>
      <c r="AC33" s="1507">
        <f t="shared" si="5"/>
        <v>1</v>
      </c>
    </row>
    <row r="34" spans="1:29" ht="15">
      <c r="A34" s="588"/>
      <c r="B34" s="521" t="s">
        <v>721</v>
      </c>
      <c r="C34" s="870" t="s">
        <v>3077</v>
      </c>
      <c r="D34" s="534">
        <v>100</v>
      </c>
      <c r="E34" s="870" t="s">
        <v>3077</v>
      </c>
      <c r="F34" s="569">
        <f>SUMIF(105:105,E34,106:106)-SUMIF(105:105,C34,106:106)+100</f>
        <v>100</v>
      </c>
      <c r="G34" s="870" t="s">
        <v>3077</v>
      </c>
      <c r="H34" s="534">
        <f>SUMIF(105:105,G34,106:106)-SUMIF(105:105,C34,106:106)+100</f>
        <v>100</v>
      </c>
      <c r="I34" s="870" t="s">
        <v>3077</v>
      </c>
      <c r="J34" s="534">
        <f>SUMIF(105:105,I34,106:106)-SUMIF(105:105,C34,106:106)+100</f>
        <v>100</v>
      </c>
      <c r="K34" s="578">
        <v>1</v>
      </c>
      <c r="L34" s="2021"/>
      <c r="M34" s="2013"/>
      <c r="N34" s="2013"/>
      <c r="O34" s="2020"/>
      <c r="P34" s="3695"/>
      <c r="Q34" s="1503" t="str">
        <f t="shared" si="11"/>
        <v>建筑结构</v>
      </c>
      <c r="R34" s="1504" t="s">
        <v>8</v>
      </c>
      <c r="S34" s="1505">
        <f t="shared" si="12"/>
        <v>100</v>
      </c>
      <c r="T34" s="1504" t="s">
        <v>8</v>
      </c>
      <c r="U34" s="1505">
        <f t="shared" si="13"/>
        <v>100</v>
      </c>
      <c r="V34" s="1504" t="s">
        <v>8</v>
      </c>
      <c r="W34" s="1505">
        <f t="shared" si="14"/>
        <v>100</v>
      </c>
      <c r="X34" s="1498"/>
      <c r="Y34" s="3695"/>
      <c r="Z34" s="1506" t="str">
        <f t="shared" si="15"/>
        <v>建筑结构</v>
      </c>
      <c r="AA34" s="1507">
        <f t="shared" si="3"/>
        <v>1</v>
      </c>
      <c r="AB34" s="1507">
        <f t="shared" si="4"/>
        <v>1</v>
      </c>
      <c r="AC34" s="1507">
        <f t="shared" si="5"/>
        <v>1</v>
      </c>
    </row>
    <row r="35" spans="1:29" ht="15">
      <c r="A35" s="588"/>
      <c r="B35" s="521" t="s">
        <v>757</v>
      </c>
      <c r="C35" s="593" t="s">
        <v>3079</v>
      </c>
      <c r="D35" s="534">
        <v>100</v>
      </c>
      <c r="E35" s="593" t="s">
        <v>3079</v>
      </c>
      <c r="F35" s="569">
        <f>SUMIF(107:107,E35,108:108)-SUMIF(107:107,C35,108:108)+100</f>
        <v>100</v>
      </c>
      <c r="G35" s="593" t="s">
        <v>3079</v>
      </c>
      <c r="H35" s="534">
        <f>SUMIF(107:107,G35,108:108)-SUMIF(107:107,C35,108:108)+100</f>
        <v>100</v>
      </c>
      <c r="I35" s="593" t="s">
        <v>3079</v>
      </c>
      <c r="J35" s="534">
        <f>SUMIF(107:107,I35,108:108)-SUMIF(107:107,C35,108:108)+100</f>
        <v>100</v>
      </c>
      <c r="K35" s="578">
        <v>1</v>
      </c>
      <c r="L35" s="2021"/>
      <c r="M35" s="2013"/>
      <c r="N35" s="2013"/>
      <c r="O35" s="2020"/>
      <c r="P35" s="3695"/>
      <c r="Q35" s="1503" t="str">
        <f t="shared" si="11"/>
        <v>公共部分装修</v>
      </c>
      <c r="R35" s="1504" t="s">
        <v>8</v>
      </c>
      <c r="S35" s="1505">
        <f t="shared" si="12"/>
        <v>100</v>
      </c>
      <c r="T35" s="1504" t="s">
        <v>8</v>
      </c>
      <c r="U35" s="1505">
        <f t="shared" si="13"/>
        <v>100</v>
      </c>
      <c r="V35" s="1504" t="s">
        <v>8</v>
      </c>
      <c r="W35" s="1505">
        <f t="shared" si="14"/>
        <v>100</v>
      </c>
      <c r="X35" s="1498"/>
      <c r="Y35" s="3695"/>
      <c r="Z35" s="1506" t="str">
        <f t="shared" si="15"/>
        <v>公共部分装修</v>
      </c>
      <c r="AA35" s="1507">
        <f t="shared" si="3"/>
        <v>1</v>
      </c>
      <c r="AB35" s="1507">
        <f t="shared" si="4"/>
        <v>1</v>
      </c>
      <c r="AC35" s="1507">
        <f t="shared" si="5"/>
        <v>1</v>
      </c>
    </row>
    <row r="36" spans="1:29" ht="15">
      <c r="A36" s="588"/>
      <c r="B36" s="521" t="s">
        <v>758</v>
      </c>
      <c r="C36" s="872">
        <v>1</v>
      </c>
      <c r="D36" s="534">
        <v>100</v>
      </c>
      <c r="E36" s="872">
        <v>1</v>
      </c>
      <c r="F36" s="569">
        <f>LOOKUP(E36,110:110,111:111)-LOOKUP(C36,110:110,111:111)+100</f>
        <v>100</v>
      </c>
      <c r="G36" s="872">
        <v>1</v>
      </c>
      <c r="H36" s="569">
        <f>LOOKUP(G36,110:110,111:111)-LOOKUP(C36,110:110,111:111)+100</f>
        <v>100</v>
      </c>
      <c r="I36" s="872">
        <v>1</v>
      </c>
      <c r="J36" s="534">
        <f>LOOKUP(I36,110:110,111:111)-LOOKUP(C36,110:110,111:111)+100</f>
        <v>100</v>
      </c>
      <c r="K36" s="578">
        <v>1</v>
      </c>
      <c r="L36" s="2021"/>
      <c r="M36" s="2013"/>
      <c r="N36" s="2013"/>
      <c r="O36" s="2020"/>
      <c r="P36" s="3695"/>
      <c r="Q36" s="1503" t="str">
        <f t="shared" si="11"/>
        <v>成新度</v>
      </c>
      <c r="R36" s="1504" t="s">
        <v>8</v>
      </c>
      <c r="S36" s="1505">
        <f t="shared" si="12"/>
        <v>100</v>
      </c>
      <c r="T36" s="1504" t="s">
        <v>8</v>
      </c>
      <c r="U36" s="1505">
        <f t="shared" si="13"/>
        <v>100</v>
      </c>
      <c r="V36" s="1504" t="s">
        <v>8</v>
      </c>
      <c r="W36" s="1505">
        <f t="shared" si="14"/>
        <v>100</v>
      </c>
      <c r="X36" s="1498"/>
      <c r="Y36" s="3695"/>
      <c r="Z36" s="1506" t="str">
        <f t="shared" si="15"/>
        <v>成新度</v>
      </c>
      <c r="AA36" s="1507">
        <f t="shared" si="3"/>
        <v>1</v>
      </c>
      <c r="AB36" s="1507">
        <f t="shared" si="4"/>
        <v>1</v>
      </c>
      <c r="AC36" s="1507">
        <f t="shared" si="5"/>
        <v>1</v>
      </c>
    </row>
    <row r="37" spans="1:29" s="1201" customFormat="1" ht="15">
      <c r="A37" s="594"/>
      <c r="B37" s="1806" t="s">
        <v>2544</v>
      </c>
      <c r="C37" s="593" t="s">
        <v>3069</v>
      </c>
      <c r="D37" s="253">
        <v>100</v>
      </c>
      <c r="E37" s="593" t="s">
        <v>3069</v>
      </c>
      <c r="F37" s="569">
        <f>SUMIF(112:112,E37,113:113)-SUMIF(112:112,C37,113:113)+100</f>
        <v>100</v>
      </c>
      <c r="G37" s="593" t="s">
        <v>3069</v>
      </c>
      <c r="H37" s="534">
        <f>SUMIF(112:112,G37,113:113)-SUMIF(112:112,C37,113:113)+100</f>
        <v>100</v>
      </c>
      <c r="I37" s="593" t="s">
        <v>3069</v>
      </c>
      <c r="J37" s="534">
        <f>SUMIF(112:112,I37,113:113)-SUMIF(112:112,C37,113:113)+100</f>
        <v>100</v>
      </c>
      <c r="K37" s="578">
        <v>1</v>
      </c>
      <c r="L37" s="2014"/>
      <c r="M37" s="2015"/>
      <c r="N37" s="2015"/>
      <c r="O37" s="2016"/>
      <c r="P37" s="3695"/>
      <c r="Q37" s="1132" t="str">
        <f t="shared" si="11"/>
        <v>市政基础设施</v>
      </c>
      <c r="R37" s="1499" t="s">
        <v>8</v>
      </c>
      <c r="S37" s="1500">
        <f t="shared" si="12"/>
        <v>100</v>
      </c>
      <c r="T37" s="1499" t="s">
        <v>8</v>
      </c>
      <c r="U37" s="1500">
        <f t="shared" si="13"/>
        <v>100</v>
      </c>
      <c r="V37" s="1499" t="s">
        <v>8</v>
      </c>
      <c r="W37" s="1500">
        <f t="shared" si="14"/>
        <v>100</v>
      </c>
      <c r="X37" s="1501"/>
      <c r="Y37" s="3695"/>
      <c r="Z37" s="1131" t="str">
        <f t="shared" si="15"/>
        <v>市政基础设施</v>
      </c>
      <c r="AA37" s="1502">
        <f t="shared" si="3"/>
        <v>1</v>
      </c>
      <c r="AB37" s="1502">
        <f t="shared" si="4"/>
        <v>1</v>
      </c>
      <c r="AC37" s="1502">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1"/>
      <c r="M38" s="2013"/>
      <c r="N38" s="2013"/>
      <c r="O38" s="2020"/>
      <c r="P38" s="3695" t="s">
        <v>760</v>
      </c>
      <c r="Q38" s="1503" t="str">
        <f t="shared" si="11"/>
        <v>业态</v>
      </c>
      <c r="R38" s="1504" t="s">
        <v>8</v>
      </c>
      <c r="S38" s="1505">
        <f t="shared" si="12"/>
        <v>100</v>
      </c>
      <c r="T38" s="1504" t="s">
        <v>8</v>
      </c>
      <c r="U38" s="1505">
        <f t="shared" si="13"/>
        <v>100</v>
      </c>
      <c r="V38" s="1504" t="s">
        <v>8</v>
      </c>
      <c r="W38" s="1505">
        <f t="shared" si="14"/>
        <v>100</v>
      </c>
      <c r="X38" s="1498"/>
      <c r="Y38" s="3695" t="s">
        <v>760</v>
      </c>
      <c r="Z38" s="1506" t="str">
        <f t="shared" si="15"/>
        <v>业态</v>
      </c>
      <c r="AA38" s="1507">
        <f t="shared" si="3"/>
        <v>1</v>
      </c>
      <c r="AB38" s="1507">
        <f t="shared" si="4"/>
        <v>1</v>
      </c>
      <c r="AC38" s="1507">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695"/>
      <c r="Q39" s="1503" t="str">
        <f t="shared" si="11"/>
        <v>层高</v>
      </c>
      <c r="R39" s="1504" t="s">
        <v>8</v>
      </c>
      <c r="S39" s="1505">
        <f t="shared" si="12"/>
        <v>100</v>
      </c>
      <c r="T39" s="1504" t="s">
        <v>8</v>
      </c>
      <c r="U39" s="1505">
        <f t="shared" si="13"/>
        <v>100</v>
      </c>
      <c r="V39" s="1504" t="s">
        <v>8</v>
      </c>
      <c r="W39" s="1505">
        <f t="shared" si="14"/>
        <v>100</v>
      </c>
      <c r="X39" s="1498"/>
      <c r="Y39" s="3695"/>
      <c r="Z39" s="1506" t="str">
        <f t="shared" si="15"/>
        <v>层高</v>
      </c>
      <c r="AA39" s="1507">
        <f t="shared" si="3"/>
        <v>1</v>
      </c>
      <c r="AB39" s="1507">
        <f t="shared" si="4"/>
        <v>1</v>
      </c>
      <c r="AC39" s="1507">
        <f t="shared" si="5"/>
        <v>1</v>
      </c>
    </row>
    <row r="40" spans="1:29" ht="15" hidden="1">
      <c r="A40" s="588"/>
      <c r="B40" s="521" t="s">
        <v>762</v>
      </c>
      <c r="C40" s="891"/>
      <c r="D40" s="534">
        <v>100</v>
      </c>
      <c r="E40" s="891"/>
      <c r="F40" s="569">
        <f>SUMIF(118:118,E40,119:119)-SUMIF(118:118,C40,119:119)+100</f>
        <v>100</v>
      </c>
      <c r="G40" s="891"/>
      <c r="H40" s="534">
        <f>SUMIF(118:118,G40,119:119)-SUMIF(118:118,C40,119:119)+100</f>
        <v>100</v>
      </c>
      <c r="I40" s="891"/>
      <c r="J40" s="534">
        <f>SUMIF(118:118,I40,119:119)-SUMIF(118:118,C40,119:119)+100</f>
        <v>100</v>
      </c>
      <c r="K40" s="575"/>
      <c r="L40" s="2021"/>
      <c r="M40" s="2013"/>
      <c r="N40" s="2013"/>
      <c r="O40" s="2020"/>
      <c r="P40" s="3695"/>
      <c r="Q40" s="1503" t="str">
        <f t="shared" si="11"/>
        <v>单套建筑面积</v>
      </c>
      <c r="R40" s="1504" t="s">
        <v>8</v>
      </c>
      <c r="S40" s="1505">
        <f t="shared" si="12"/>
        <v>100</v>
      </c>
      <c r="T40" s="1504" t="s">
        <v>8</v>
      </c>
      <c r="U40" s="1505">
        <f t="shared" si="13"/>
        <v>100</v>
      </c>
      <c r="V40" s="1504" t="s">
        <v>8</v>
      </c>
      <c r="W40" s="1505">
        <f t="shared" si="14"/>
        <v>100</v>
      </c>
      <c r="X40" s="1498"/>
      <c r="Y40" s="3695"/>
      <c r="Z40" s="1506" t="str">
        <f t="shared" si="15"/>
        <v>单套建筑面积</v>
      </c>
      <c r="AA40" s="1507">
        <f t="shared" si="3"/>
        <v>1</v>
      </c>
      <c r="AB40" s="1507">
        <f t="shared" si="4"/>
        <v>1</v>
      </c>
      <c r="AC40" s="1507">
        <f t="shared" si="5"/>
        <v>1</v>
      </c>
    </row>
    <row r="41" spans="1:29" s="1291" customFormat="1" ht="15" hidden="1">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9"/>
      <c r="M41" s="2049"/>
      <c r="N41" s="2049"/>
      <c r="O41" s="2022"/>
      <c r="P41" s="3695"/>
      <c r="Q41" s="1532" t="str">
        <f t="shared" si="11"/>
        <v>进深比</v>
      </c>
      <c r="R41" s="1508" t="s">
        <v>8</v>
      </c>
      <c r="S41" s="1509">
        <f t="shared" si="12"/>
        <v>100</v>
      </c>
      <c r="T41" s="1508" t="s">
        <v>8</v>
      </c>
      <c r="U41" s="1509">
        <f t="shared" si="13"/>
        <v>100</v>
      </c>
      <c r="V41" s="1508" t="s">
        <v>8</v>
      </c>
      <c r="W41" s="1509">
        <f t="shared" si="14"/>
        <v>100</v>
      </c>
      <c r="X41" s="1510"/>
      <c r="Y41" s="3695"/>
      <c r="Z41" s="1511" t="str">
        <f t="shared" si="15"/>
        <v>进深比</v>
      </c>
      <c r="AA41" s="1507">
        <f t="shared" si="3"/>
        <v>1</v>
      </c>
      <c r="AB41" s="1507">
        <f t="shared" si="4"/>
        <v>1</v>
      </c>
      <c r="AC41" s="1507">
        <f t="shared" si="5"/>
        <v>1</v>
      </c>
    </row>
    <row r="42" spans="1:29" ht="15">
      <c r="A42" s="588"/>
      <c r="B42" s="521" t="s">
        <v>764</v>
      </c>
      <c r="C42" s="593" t="s">
        <v>3083</v>
      </c>
      <c r="D42" s="534">
        <v>100</v>
      </c>
      <c r="E42" s="593" t="s">
        <v>3083</v>
      </c>
      <c r="F42" s="569">
        <f>SUMIF(122:122,E42,123:123)-SUMIF(122:122,C42,123:123)+100</f>
        <v>100</v>
      </c>
      <c r="G42" s="593" t="s">
        <v>3083</v>
      </c>
      <c r="H42" s="534">
        <f>SUMIF(122:122,G42,123:123)-SUMIF(122:122,C42,123:123)+100</f>
        <v>100</v>
      </c>
      <c r="I42" s="593" t="s">
        <v>3083</v>
      </c>
      <c r="J42" s="534">
        <f>SUMIF(122:122,I42,123:123)-SUMIF(122:122,C42,123:123)+100</f>
        <v>100</v>
      </c>
      <c r="K42" s="578">
        <v>2</v>
      </c>
      <c r="L42" s="2021"/>
      <c r="M42" s="2013"/>
      <c r="N42" s="2013"/>
      <c r="O42" s="2020"/>
      <c r="P42" s="3695"/>
      <c r="Q42" s="1503" t="str">
        <f t="shared" si="11"/>
        <v>内部装修</v>
      </c>
      <c r="R42" s="1504" t="s">
        <v>8</v>
      </c>
      <c r="S42" s="1505">
        <f t="shared" si="12"/>
        <v>100</v>
      </c>
      <c r="T42" s="1504" t="s">
        <v>8</v>
      </c>
      <c r="U42" s="1505">
        <f t="shared" si="13"/>
        <v>100</v>
      </c>
      <c r="V42" s="1504" t="s">
        <v>8</v>
      </c>
      <c r="W42" s="1505">
        <f t="shared" si="14"/>
        <v>100</v>
      </c>
      <c r="X42" s="1498"/>
      <c r="Y42" s="3695"/>
      <c r="Z42" s="1506" t="str">
        <f t="shared" si="15"/>
        <v>内部装修</v>
      </c>
      <c r="AA42" s="1507">
        <f t="shared" si="3"/>
        <v>1</v>
      </c>
      <c r="AB42" s="1507">
        <f t="shared" si="4"/>
        <v>1</v>
      </c>
      <c r="AC42" s="1507">
        <f t="shared" si="5"/>
        <v>1</v>
      </c>
    </row>
    <row r="43" spans="1:29" ht="27.75" thickBot="1">
      <c r="A43" s="588"/>
      <c r="B43" s="521" t="s">
        <v>729</v>
      </c>
      <c r="C43" s="593" t="s">
        <v>3074</v>
      </c>
      <c r="D43" s="534">
        <v>100</v>
      </c>
      <c r="E43" s="593" t="s">
        <v>3074</v>
      </c>
      <c r="F43" s="569">
        <f>SUMIF(124:124,E43,125:125)-SUMIF(124:124,C43,125:125)+100</f>
        <v>100</v>
      </c>
      <c r="G43" s="593" t="s">
        <v>3074</v>
      </c>
      <c r="H43" s="534">
        <f>SUMIF(124:124,G43,125:125)-SUMIF(124:124,C43,125:125)+100</f>
        <v>100</v>
      </c>
      <c r="I43" s="593" t="s">
        <v>3074</v>
      </c>
      <c r="J43" s="534">
        <f>SUMIF(124:124,I43,125:125)-SUMIF(124:124,C43,125:125)+100</f>
        <v>100</v>
      </c>
      <c r="K43" s="578">
        <v>1</v>
      </c>
      <c r="L43" s="2021"/>
      <c r="M43" s="2013"/>
      <c r="N43" s="2013"/>
      <c r="O43" s="2020"/>
      <c r="P43" s="3695"/>
      <c r="Q43" s="1503" t="str">
        <f t="shared" si="11"/>
        <v>内部装修维护情况</v>
      </c>
      <c r="R43" s="1504" t="s">
        <v>8</v>
      </c>
      <c r="S43" s="1505">
        <f t="shared" si="12"/>
        <v>100</v>
      </c>
      <c r="T43" s="1504" t="s">
        <v>8</v>
      </c>
      <c r="U43" s="1505">
        <f t="shared" si="13"/>
        <v>100</v>
      </c>
      <c r="V43" s="1504" t="s">
        <v>8</v>
      </c>
      <c r="W43" s="1505">
        <f t="shared" si="14"/>
        <v>100</v>
      </c>
      <c r="X43" s="1498"/>
      <c r="Y43" s="3695"/>
      <c r="Z43" s="1506" t="str">
        <f t="shared" si="15"/>
        <v>内部装修维护情况</v>
      </c>
      <c r="AA43" s="1507">
        <f t="shared" si="3"/>
        <v>1</v>
      </c>
      <c r="AB43" s="1507">
        <f t="shared" si="4"/>
        <v>1</v>
      </c>
      <c r="AC43" s="1507">
        <f t="shared" si="5"/>
        <v>1</v>
      </c>
    </row>
    <row r="44" spans="1:29" s="1201" customFormat="1" ht="15" hidden="1">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4"/>
      <c r="M44" s="2015"/>
      <c r="N44" s="2015"/>
      <c r="O44" s="2016"/>
      <c r="P44" s="3695"/>
      <c r="Q44" s="1132">
        <f t="shared" si="11"/>
        <v>111</v>
      </c>
      <c r="R44" s="1499" t="s">
        <v>8</v>
      </c>
      <c r="S44" s="1500">
        <f t="shared" si="12"/>
        <v>100</v>
      </c>
      <c r="T44" s="1499" t="s">
        <v>8</v>
      </c>
      <c r="U44" s="1500">
        <f t="shared" si="13"/>
        <v>100</v>
      </c>
      <c r="V44" s="1499" t="s">
        <v>8</v>
      </c>
      <c r="W44" s="1500">
        <f t="shared" si="14"/>
        <v>100</v>
      </c>
      <c r="X44" s="1501"/>
      <c r="Y44" s="3695"/>
      <c r="Z44" s="1131">
        <f t="shared" si="15"/>
        <v>111</v>
      </c>
      <c r="AA44" s="1502">
        <f t="shared" si="3"/>
        <v>1</v>
      </c>
      <c r="AB44" s="1502">
        <f t="shared" si="4"/>
        <v>1</v>
      </c>
      <c r="AC44" s="1502">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1"/>
      <c r="M45" s="2013"/>
      <c r="N45" s="2013"/>
      <c r="O45" s="2020"/>
      <c r="P45" s="3695"/>
      <c r="Q45" s="1503">
        <f t="shared" si="11"/>
        <v>111</v>
      </c>
      <c r="R45" s="1504" t="s">
        <v>8</v>
      </c>
      <c r="S45" s="1505">
        <f t="shared" si="12"/>
        <v>100</v>
      </c>
      <c r="T45" s="1504" t="s">
        <v>8</v>
      </c>
      <c r="U45" s="1505">
        <f t="shared" si="13"/>
        <v>100</v>
      </c>
      <c r="V45" s="1504" t="s">
        <v>8</v>
      </c>
      <c r="W45" s="1505">
        <f t="shared" si="14"/>
        <v>100</v>
      </c>
      <c r="X45" s="1498"/>
      <c r="Y45" s="3695"/>
      <c r="Z45" s="1506">
        <f t="shared" si="15"/>
        <v>111</v>
      </c>
      <c r="AA45" s="1507">
        <f t="shared" si="3"/>
        <v>1</v>
      </c>
      <c r="AB45" s="1507">
        <f t="shared" si="4"/>
        <v>1</v>
      </c>
      <c r="AC45" s="1507">
        <f t="shared" si="5"/>
        <v>1</v>
      </c>
    </row>
    <row r="46" spans="1:29" ht="15.75" hidden="1"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1"/>
      <c r="M46" s="2013"/>
      <c r="N46" s="2013"/>
      <c r="O46" s="2020"/>
      <c r="P46" s="3754"/>
      <c r="Q46" s="1503">
        <f t="shared" si="11"/>
        <v>111</v>
      </c>
      <c r="R46" s="1504" t="s">
        <v>8</v>
      </c>
      <c r="S46" s="1505">
        <f t="shared" si="12"/>
        <v>100</v>
      </c>
      <c r="T46" s="1504" t="s">
        <v>8</v>
      </c>
      <c r="U46" s="1505">
        <f t="shared" si="13"/>
        <v>100</v>
      </c>
      <c r="V46" s="1504" t="s">
        <v>8</v>
      </c>
      <c r="W46" s="1505">
        <f t="shared" si="14"/>
        <v>100</v>
      </c>
      <c r="X46" s="1498"/>
      <c r="Y46" s="3754"/>
      <c r="Z46" s="1506">
        <f t="shared" si="15"/>
        <v>111</v>
      </c>
      <c r="AA46" s="1507">
        <f t="shared" si="3"/>
        <v>1</v>
      </c>
      <c r="AB46" s="1507">
        <f t="shared" si="4"/>
        <v>1</v>
      </c>
      <c r="AC46" s="1507">
        <f t="shared" si="5"/>
        <v>1</v>
      </c>
    </row>
    <row r="47" spans="1:29" ht="15">
      <c r="A47" s="601" t="s">
        <v>730</v>
      </c>
      <c r="B47" s="876"/>
      <c r="C47" s="2467" t="s">
        <v>1</v>
      </c>
      <c r="D47" s="2468"/>
      <c r="E47" s="2469">
        <v>70000</v>
      </c>
      <c r="F47" s="2470"/>
      <c r="G47" s="2471">
        <v>35000</v>
      </c>
      <c r="H47" s="2472"/>
      <c r="I47" s="2469">
        <v>47000</v>
      </c>
      <c r="J47" s="2472"/>
      <c r="K47" s="1537"/>
      <c r="L47" s="2023"/>
      <c r="M47" s="2024"/>
      <c r="N47" s="2013"/>
      <c r="O47" s="2024"/>
      <c r="P47" s="3658" t="str">
        <f>A47</f>
        <v>成交单价（元/平方米）</v>
      </c>
      <c r="Q47" s="3658"/>
      <c r="R47" s="3753">
        <f>E47</f>
        <v>70000</v>
      </c>
      <c r="S47" s="3753"/>
      <c r="T47" s="3753">
        <f>G47</f>
        <v>35000</v>
      </c>
      <c r="U47" s="3753"/>
      <c r="V47" s="3753">
        <f>I47</f>
        <v>47000</v>
      </c>
      <c r="W47" s="3753"/>
      <c r="X47" s="1493"/>
      <c r="Y47" s="1512"/>
      <c r="Z47" s="1493"/>
      <c r="AA47" s="1493"/>
      <c r="AB47" s="1493"/>
      <c r="AC47" s="1493"/>
    </row>
    <row r="48" spans="1:29" ht="15.75" thickBot="1">
      <c r="A48" s="609" t="s">
        <v>2737</v>
      </c>
      <c r="B48" s="877"/>
      <c r="C48" s="2473">
        <f>R49</f>
        <v>50994</v>
      </c>
      <c r="D48" s="3011" t="s">
        <v>2964</v>
      </c>
      <c r="E48" s="2474">
        <f>R48</f>
        <v>66667</v>
      </c>
      <c r="F48" s="3012"/>
      <c r="G48" s="2473">
        <f>T48</f>
        <v>36842</v>
      </c>
      <c r="H48" s="3012"/>
      <c r="I48" s="2474">
        <f>V48</f>
        <v>49474</v>
      </c>
      <c r="J48" s="3012"/>
      <c r="K48" s="3020">
        <f>F48+H48+J48</f>
        <v>0</v>
      </c>
      <c r="L48" s="2023"/>
      <c r="M48" s="2024"/>
      <c r="N48" s="2013"/>
      <c r="O48" s="2024"/>
      <c r="P48" s="3658" t="str">
        <f>A48</f>
        <v>比较价格（元/平方米）</v>
      </c>
      <c r="Q48" s="3658"/>
      <c r="R48" s="3753">
        <f>IF(F1="售价",ROUND(PRODUCT(R47,AA7:AA46),0),ROUND(PRODUCT(R47,AA7:AA46),1))</f>
        <v>66667</v>
      </c>
      <c r="S48" s="3753"/>
      <c r="T48" s="3753">
        <f>IF(F1="售价",ROUND(PRODUCT(T47,AB7:AB46),0),ROUND(PRODUCT(T47,AB7:AB46),1))</f>
        <v>36842</v>
      </c>
      <c r="U48" s="3753"/>
      <c r="V48" s="3753">
        <f>IF(F1="售价",ROUND(PRODUCT(V47,AC7:AC46),0),ROUND(PRODUCT(V47,AC7:AC46),1))</f>
        <v>49474</v>
      </c>
      <c r="W48" s="3753"/>
      <c r="X48" s="1493"/>
      <c r="Y48" s="1493"/>
      <c r="Z48" s="1493"/>
      <c r="AA48" s="1493"/>
      <c r="AB48" s="1493"/>
      <c r="AC48" s="1493"/>
    </row>
    <row r="49" spans="1:29" ht="15.75" thickBot="1">
      <c r="A49" s="613" t="s">
        <v>2896</v>
      </c>
      <c r="B49" s="614"/>
      <c r="C49" s="2475">
        <f>R49</f>
        <v>50994</v>
      </c>
      <c r="D49" s="2475"/>
      <c r="E49" s="2475"/>
      <c r="F49" s="2475"/>
      <c r="G49" s="2475"/>
      <c r="H49" s="2475"/>
      <c r="I49" s="2475"/>
      <c r="J49" s="2475"/>
      <c r="K49" s="1538"/>
      <c r="L49" s="2023"/>
      <c r="M49" s="2024"/>
      <c r="N49" s="2013"/>
      <c r="O49" s="2024"/>
      <c r="P49" s="3655" t="str">
        <f>A49</f>
        <v>估价对象XX用房的比较价格（楼面单价，元/平方米）</v>
      </c>
      <c r="Q49" s="3656"/>
      <c r="R49" s="3752">
        <f>IF(F1="售价",ROUND(IF(D48="简单平均",AVERAGE(R48:V48),R48*F48+T48*H48+V48*J48),0),ROUND(IF(D48="简单平均",AVERAGE(R48:V48),R48*F48+T48*H48+V48*J48),1))</f>
        <v>50994</v>
      </c>
      <c r="S49" s="3752"/>
      <c r="T49" s="3752"/>
      <c r="U49" s="3752"/>
      <c r="V49" s="3752"/>
      <c r="W49" s="3752"/>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f>IF(E47&lt;E48,E48/E47-1,E47/E48-1)</f>
        <v>4.9994750026249868E-2</v>
      </c>
      <c r="F52" s="619" t="str">
        <f>IF(OR(E52&gt;=0.3,E52&lt;=-0.3),"超过30%","")</f>
        <v/>
      </c>
      <c r="G52" s="618">
        <f>IF(G47&lt;G48,G48/G47-1,G47/G48-1)</f>
        <v>5.2628571428571469E-2</v>
      </c>
      <c r="H52" s="619" t="str">
        <f>IF(OR(G52&gt;=0.3,G52&lt;=-0.3),"超过30%","")</f>
        <v/>
      </c>
      <c r="I52" s="618">
        <f>IF(I47&lt;I48,I48/I47-1,I47/I48-1)</f>
        <v>5.2638297872340534E-2</v>
      </c>
      <c r="J52" s="619"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f>IF(E48&lt;G48,G48/E48-1,E48/G48-1)</f>
        <v>0.80953802725150648</v>
      </c>
      <c r="F53" s="619" t="str">
        <f>IF(OR(E53&gt;=0.2,E53&lt;=-0.2),"超过20%","")</f>
        <v>超过20%</v>
      </c>
      <c r="G53" s="618">
        <f>IF(G48&lt;I48,I48/G48-1,G48/I48-1)</f>
        <v>0.34286955105586014</v>
      </c>
      <c r="H53" s="619" t="str">
        <f>IF(OR(G53&gt;=0.2,G53&lt;=-0.2),"超过20%","")</f>
        <v>超过20%</v>
      </c>
      <c r="I53" s="618">
        <f>IF(I48&lt;E48,E48/I48-1,I48/E48-1)</f>
        <v>0.34751586691999847</v>
      </c>
      <c r="J53" s="619" t="str">
        <f>IF(OR(I53&gt;=0.2,I53&lt;=-0.2),"超过20%","")</f>
        <v>超过20%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f>IF(E47&lt;G47,G47/E47-1,E47/G47-1)</f>
        <v>1</v>
      </c>
      <c r="F54" s="619" t="str">
        <f>IF(OR(E54&gt;=0.3,E54&lt;=-0.3),"超过30%","")</f>
        <v>超过30%</v>
      </c>
      <c r="G54" s="618">
        <f>IF(G47&lt;I47,I47/G47-1,G47/I47-1)</f>
        <v>0.34285714285714275</v>
      </c>
      <c r="H54" s="619" t="str">
        <f>IF(OR(G54&gt;=0.3,G54&lt;=-0.3),"超过30%","")</f>
        <v>超过30%</v>
      </c>
      <c r="I54" s="618">
        <f>IF(I47&lt;E47,E47/I47-1,I47/E47-1)</f>
        <v>0.4893617021276595</v>
      </c>
      <c r="J54" s="619" t="str">
        <f>IF(OR(I54&gt;=0.3,I54&lt;=-0.3),"超过30%","")</f>
        <v>超过30%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6" t="str">
        <f>YEAR(C7)&amp;"-"&amp;MONTH(C7)</f>
        <v>2021-6</v>
      </c>
      <c r="D58" s="2518">
        <f>EDATE(C58,-1)</f>
        <v>44317</v>
      </c>
      <c r="E58" s="2518">
        <f t="shared" ref="E58:O58" si="16">EDATE(D58,-1)</f>
        <v>44287</v>
      </c>
      <c r="F58" s="2518">
        <f t="shared" si="16"/>
        <v>44256</v>
      </c>
      <c r="G58" s="2518">
        <f t="shared" si="16"/>
        <v>44228</v>
      </c>
      <c r="H58" s="2518">
        <f t="shared" si="16"/>
        <v>44197</v>
      </c>
      <c r="I58" s="2518">
        <f t="shared" si="16"/>
        <v>44166</v>
      </c>
      <c r="J58" s="2518">
        <f t="shared" si="16"/>
        <v>44136</v>
      </c>
      <c r="K58" s="2518">
        <f t="shared" si="16"/>
        <v>44105</v>
      </c>
      <c r="L58" s="2518">
        <f t="shared" si="16"/>
        <v>44075</v>
      </c>
      <c r="M58" s="2518">
        <f t="shared" si="16"/>
        <v>44044</v>
      </c>
      <c r="N58" s="2518">
        <f t="shared" si="16"/>
        <v>44013</v>
      </c>
      <c r="O58" s="2518">
        <f t="shared" si="16"/>
        <v>43983</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4"/>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v>1</v>
      </c>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186"/>
    </row>
    <row r="63" spans="1:29">
      <c r="A63" s="656" t="s">
        <v>571</v>
      </c>
      <c r="B63" s="657" t="s">
        <v>528</v>
      </c>
      <c r="C63" s="696" t="str">
        <f>C9</f>
        <v>商业</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v>100</v>
      </c>
      <c r="D64" s="663"/>
      <c r="E64" s="663"/>
      <c r="F64" s="663"/>
      <c r="G64" s="663"/>
      <c r="H64" s="663"/>
      <c r="I64" s="663"/>
      <c r="J64" s="663"/>
      <c r="K64" s="663"/>
      <c r="L64" s="663"/>
      <c r="M64" s="664"/>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0（含）-2</v>
      </c>
      <c r="D67" s="674" t="str">
        <f t="shared" ref="D67:L67" si="18">D68&amp;"（含）"&amp;"-"&amp;E68</f>
        <v>2（含）-4</v>
      </c>
      <c r="E67" s="674" t="str">
        <f t="shared" si="18"/>
        <v>4（含）-6</v>
      </c>
      <c r="F67" s="674" t="str">
        <f t="shared" si="18"/>
        <v>6（含）-8</v>
      </c>
      <c r="G67" s="674" t="str">
        <f t="shared" si="18"/>
        <v>8（含）-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v>0</v>
      </c>
      <c r="D68" s="535">
        <v>2</v>
      </c>
      <c r="E68" s="535">
        <v>4</v>
      </c>
      <c r="F68" s="535">
        <v>6</v>
      </c>
      <c r="G68" s="535">
        <v>8</v>
      </c>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hidden="1"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hidden="1"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hidden="1"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hidden="1" thickBot="1">
      <c r="A73" s="679"/>
      <c r="B73" s="670"/>
      <c r="C73" s="684"/>
      <c r="D73" s="663"/>
      <c r="E73" s="663"/>
      <c r="F73" s="663"/>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hidden="1"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hidden="1"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665" t="s">
        <v>765</v>
      </c>
      <c r="C86" s="3374" t="s">
        <v>3231</v>
      </c>
      <c r="D86" s="3374" t="s">
        <v>3232</v>
      </c>
      <c r="E86" s="3374" t="s">
        <v>3233</v>
      </c>
      <c r="F86" s="3374" t="s">
        <v>3234</v>
      </c>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tr">
        <f>B26</f>
        <v>平面位置/可视性</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684"/>
      <c r="D89" s="663"/>
      <c r="E89" s="663"/>
      <c r="F89" s="663"/>
      <c r="G89" s="663"/>
      <c r="H89" s="663"/>
      <c r="I89" s="663"/>
      <c r="J89" s="663"/>
      <c r="K89" s="663"/>
      <c r="L89" s="663"/>
      <c r="M89" s="663"/>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人流量</v>
      </c>
      <c r="C90" s="3374" t="s">
        <v>3235</v>
      </c>
      <c r="D90" s="3374" t="s">
        <v>3236</v>
      </c>
      <c r="E90" s="3374" t="s">
        <v>3237</v>
      </c>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5"/>
      <c r="O91" s="2045"/>
      <c r="P91" s="2046"/>
      <c r="Q91" s="2047"/>
      <c r="R91" s="2048"/>
      <c r="S91" s="2048"/>
      <c r="T91" s="2048"/>
      <c r="U91" s="2048"/>
      <c r="V91" s="2048"/>
      <c r="W91" s="2048"/>
      <c r="X91" s="2048"/>
      <c r="Y91" s="2048"/>
      <c r="Z91" s="2048"/>
      <c r="AA91" s="2048"/>
      <c r="AB91" s="2048"/>
      <c r="AC91" s="2048"/>
    </row>
    <row r="92" spans="1:29" ht="15.75" thickTop="1">
      <c r="A92" s="661"/>
      <c r="B92" s="665" t="str">
        <f>B28</f>
        <v>楼层</v>
      </c>
      <c r="C92" s="3374" t="s">
        <v>3239</v>
      </c>
      <c r="D92" s="3374" t="s">
        <v>3241</v>
      </c>
      <c r="E92" s="3374" t="s">
        <v>3243</v>
      </c>
      <c r="F92" s="3374" t="s">
        <v>3244</v>
      </c>
      <c r="G92" s="680"/>
      <c r="H92" s="680"/>
      <c r="I92" s="680"/>
      <c r="J92" s="680"/>
      <c r="K92" s="680"/>
      <c r="L92" s="879"/>
      <c r="M92" s="880"/>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63">
        <v>100</v>
      </c>
      <c r="D93" s="663">
        <v>70</v>
      </c>
      <c r="E93" s="663">
        <v>50</v>
      </c>
      <c r="F93" s="663">
        <v>60</v>
      </c>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63"/>
      <c r="E95" s="663"/>
      <c r="F95" s="663"/>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84"/>
      <c r="D97" s="663"/>
      <c r="E97" s="663"/>
      <c r="F97" s="663"/>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680"/>
      <c r="D98" s="680"/>
      <c r="E98" s="680"/>
      <c r="F98" s="680"/>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692"/>
      <c r="D99" s="692"/>
      <c r="E99" s="692"/>
      <c r="F99" s="692"/>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766</v>
      </c>
      <c r="C100" s="3371" t="s">
        <v>3246</v>
      </c>
      <c r="D100" s="3371" t="s">
        <v>3247</v>
      </c>
      <c r="E100" s="3371" t="s">
        <v>3249</v>
      </c>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v>0</v>
      </c>
      <c r="D103" s="722">
        <v>10000</v>
      </c>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v>100</v>
      </c>
      <c r="D104" s="663">
        <v>100</v>
      </c>
      <c r="E104" s="663"/>
      <c r="F104" s="663"/>
      <c r="G104" s="663"/>
      <c r="H104" s="663"/>
      <c r="I104" s="663"/>
      <c r="J104" s="663"/>
      <c r="K104" s="663"/>
      <c r="L104" s="663"/>
      <c r="M104" s="664"/>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3374" t="s">
        <v>3250</v>
      </c>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99</v>
      </c>
      <c r="E106" s="671">
        <f t="shared" si="24"/>
        <v>98</v>
      </c>
      <c r="F106" s="671">
        <f t="shared" si="24"/>
        <v>97</v>
      </c>
      <c r="G106" s="671">
        <f t="shared" si="24"/>
        <v>96</v>
      </c>
      <c r="H106" s="671">
        <f t="shared" si="24"/>
        <v>95</v>
      </c>
      <c r="I106" s="671">
        <f t="shared" si="24"/>
        <v>94</v>
      </c>
      <c r="J106" s="671">
        <f t="shared" si="24"/>
        <v>93</v>
      </c>
      <c r="K106" s="671">
        <f t="shared" si="24"/>
        <v>92</v>
      </c>
      <c r="L106" s="671">
        <f t="shared" si="24"/>
        <v>91</v>
      </c>
      <c r="M106" s="672">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745</v>
      </c>
      <c r="C107" s="3374" t="s">
        <v>3080</v>
      </c>
      <c r="D107" s="3374" t="s">
        <v>3081</v>
      </c>
      <c r="E107" s="3374" t="s">
        <v>3082</v>
      </c>
      <c r="F107" s="3373" t="s">
        <v>3084</v>
      </c>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99</v>
      </c>
      <c r="E108" s="671">
        <f t="shared" si="25"/>
        <v>98</v>
      </c>
      <c r="F108" s="671">
        <f t="shared" si="25"/>
        <v>97</v>
      </c>
      <c r="G108" s="671">
        <f t="shared" si="25"/>
        <v>96</v>
      </c>
      <c r="H108" s="671">
        <f t="shared" si="25"/>
        <v>95</v>
      </c>
      <c r="I108" s="671">
        <f t="shared" si="25"/>
        <v>94</v>
      </c>
      <c r="J108" s="671">
        <f t="shared" si="25"/>
        <v>93</v>
      </c>
      <c r="K108" s="671">
        <f t="shared" si="25"/>
        <v>92</v>
      </c>
      <c r="L108" s="671">
        <f t="shared" si="25"/>
        <v>91</v>
      </c>
      <c r="M108" s="672">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c r="A110" s="727"/>
      <c r="B110" s="673"/>
      <c r="C110" s="883">
        <v>0.5</v>
      </c>
      <c r="D110" s="883">
        <v>0.6</v>
      </c>
      <c r="E110" s="883">
        <v>0.7</v>
      </c>
      <c r="F110" s="883">
        <v>0.8</v>
      </c>
      <c r="G110" s="883">
        <v>0.9</v>
      </c>
      <c r="H110" s="883">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704">
        <v>100</v>
      </c>
      <c r="D111" s="671">
        <f>C111+$K36</f>
        <v>101</v>
      </c>
      <c r="E111" s="671">
        <f t="shared" ref="E111:M111" si="26">D111+$K36</f>
        <v>102</v>
      </c>
      <c r="F111" s="671">
        <f t="shared" si="26"/>
        <v>103</v>
      </c>
      <c r="G111" s="671">
        <f t="shared" si="26"/>
        <v>104</v>
      </c>
      <c r="H111" s="671">
        <f t="shared" si="26"/>
        <v>105</v>
      </c>
      <c r="I111" s="671">
        <f t="shared" si="26"/>
        <v>106</v>
      </c>
      <c r="J111" s="671">
        <f t="shared" si="26"/>
        <v>107</v>
      </c>
      <c r="K111" s="671">
        <f t="shared" si="26"/>
        <v>108</v>
      </c>
      <c r="L111" s="671">
        <f t="shared" si="26"/>
        <v>109</v>
      </c>
      <c r="M111" s="671">
        <f t="shared" si="26"/>
        <v>110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20"/>
      <c r="B112" s="1807" t="s">
        <v>2535</v>
      </c>
      <c r="C112" s="1324" t="s">
        <v>3068</v>
      </c>
      <c r="D112" s="1324" t="s">
        <v>3070</v>
      </c>
      <c r="E112" s="1324" t="s">
        <v>3071</v>
      </c>
      <c r="F112" s="1324" t="s">
        <v>3072</v>
      </c>
      <c r="G112" s="1324" t="s">
        <v>3073</v>
      </c>
      <c r="H112" s="710"/>
      <c r="I112" s="710"/>
      <c r="J112" s="710"/>
      <c r="K112" s="711"/>
      <c r="L112" s="712"/>
      <c r="M112" s="713"/>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671">
        <v>100</v>
      </c>
      <c r="D113" s="671">
        <f>C113-$K37</f>
        <v>99</v>
      </c>
      <c r="E113" s="671">
        <f t="shared" ref="E113:M113" si="27">D113-$K37</f>
        <v>98</v>
      </c>
      <c r="F113" s="671">
        <f t="shared" si="27"/>
        <v>97</v>
      </c>
      <c r="G113" s="671">
        <f t="shared" si="27"/>
        <v>96</v>
      </c>
      <c r="H113" s="671">
        <f t="shared" si="27"/>
        <v>95</v>
      </c>
      <c r="I113" s="671">
        <f t="shared" si="27"/>
        <v>94</v>
      </c>
      <c r="J113" s="671">
        <f t="shared" si="27"/>
        <v>93</v>
      </c>
      <c r="K113" s="671">
        <f t="shared" si="27"/>
        <v>92</v>
      </c>
      <c r="L113" s="671">
        <f t="shared" si="27"/>
        <v>91</v>
      </c>
      <c r="M113" s="671">
        <f t="shared" si="27"/>
        <v>90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767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665" t="s">
        <v>768</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769</v>
      </c>
      <c r="C118" s="897"/>
      <c r="D118" s="897"/>
      <c r="E118" s="897"/>
      <c r="F118" s="897"/>
      <c r="G118" s="897"/>
      <c r="H118" s="681"/>
      <c r="I118" s="681"/>
      <c r="J118" s="681"/>
      <c r="K118" s="681"/>
      <c r="L118" s="682"/>
      <c r="M118" s="68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20"/>
      <c r="B120" s="665" t="s">
        <v>770</v>
      </c>
      <c r="C120" s="710"/>
      <c r="D120" s="710"/>
      <c r="E120" s="710"/>
      <c r="F120" s="710"/>
      <c r="G120" s="681"/>
      <c r="H120" s="681"/>
      <c r="I120" s="681"/>
      <c r="J120" s="681"/>
      <c r="K120" s="681"/>
      <c r="L120" s="682"/>
      <c r="M120" s="683"/>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3374" t="s">
        <v>3080</v>
      </c>
      <c r="D122" s="3374" t="s">
        <v>3081</v>
      </c>
      <c r="E122" s="3374" t="s">
        <v>3082</v>
      </c>
      <c r="F122" s="3373" t="s">
        <v>3084</v>
      </c>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63"/>
      <c r="E129" s="663"/>
      <c r="F129" s="663"/>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A19" zoomScale="85" zoomScaleNormal="60" zoomScaleSheetLayoutView="85" workbookViewId="0">
      <selection activeCell="G45" sqref="G4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3001</v>
      </c>
      <c r="D1" s="2795" t="s">
        <v>3432</v>
      </c>
      <c r="E1" s="2239" t="s">
        <v>861</v>
      </c>
      <c r="F1" s="2240">
        <f ca="1">J53</f>
        <v>33.229999999999997</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37766</v>
      </c>
      <c r="C2" s="3261"/>
      <c r="D2" s="3262"/>
      <c r="E2" s="3263"/>
      <c r="F2" s="3263"/>
      <c r="G2" s="3257"/>
      <c r="H2" s="1937"/>
      <c r="I2" s="1937"/>
      <c r="J2" s="1937"/>
      <c r="K2" s="1938"/>
      <c r="L2" s="1937"/>
      <c r="M2" s="1937"/>
    </row>
    <row r="3" spans="1:33" ht="18" customHeight="1" thickBot="1">
      <c r="A3" s="822" t="s">
        <v>1717</v>
      </c>
      <c r="B3" s="823">
        <f ca="1">IF(ISERROR(B2*10000/F43),0,ROUND(B2*10000/F43,0))</f>
        <v>16845</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2654</v>
      </c>
      <c r="D5" s="2346" t="s">
        <v>2440</v>
      </c>
      <c r="E5" s="2340"/>
      <c r="F5" s="2341"/>
      <c r="G5" s="1942"/>
      <c r="H5" s="771">
        <v>1</v>
      </c>
      <c r="I5" s="772" t="s">
        <v>2437</v>
      </c>
      <c r="J5" s="55">
        <f ca="1">J6+J10+J12</f>
        <v>0</v>
      </c>
      <c r="K5" s="2346" t="s">
        <v>2440</v>
      </c>
      <c r="L5" s="2340"/>
      <c r="M5" s="2341"/>
    </row>
    <row r="6" spans="1:33" ht="18" customHeight="1">
      <c r="A6" s="1742" t="s">
        <v>1814</v>
      </c>
      <c r="B6" s="3746" t="s">
        <v>2442</v>
      </c>
      <c r="C6" s="773">
        <f ca="1">ROUND(F6*F8*F7*(1-F9)/10000,0)</f>
        <v>2651</v>
      </c>
      <c r="D6" s="2347" t="s">
        <v>2441</v>
      </c>
      <c r="E6" s="774" t="s">
        <v>631</v>
      </c>
      <c r="F6" s="775">
        <f ca="1">INDIRECT("'数据-取费表'!u"&amp;$G$1)</f>
        <v>3.6</v>
      </c>
      <c r="G6" s="1942"/>
      <c r="H6" s="2354" t="s">
        <v>1814</v>
      </c>
      <c r="I6" s="3746" t="s">
        <v>2442</v>
      </c>
      <c r="J6" s="773">
        <f ca="1">ROUND(M6*M8*M7*(1-M9)/10000,0)</f>
        <v>0</v>
      </c>
      <c r="K6" s="339" t="s">
        <v>1727</v>
      </c>
      <c r="L6" s="774" t="s">
        <v>631</v>
      </c>
      <c r="M6" s="775">
        <f ca="1">INDIRECT("'数据-取费表'!z"&amp;$G$1)</f>
        <v>0</v>
      </c>
    </row>
    <row r="7" spans="1:33" ht="18" customHeight="1">
      <c r="A7" s="2350"/>
      <c r="B7" s="3747"/>
      <c r="C7" s="778"/>
      <c r="D7" s="779"/>
      <c r="E7" s="774" t="s">
        <v>632</v>
      </c>
      <c r="F7" s="775">
        <f ca="1">IF(INDIRECT("'数据-取费表'!ah"&amp;$G$1)="",INDIRECT("'数据-取费表'!k"&amp;$G$1),INDIRECT("'数据-取费表'!ah"&amp;$G$1))</f>
        <v>22420</v>
      </c>
      <c r="G7" s="1942"/>
      <c r="H7" s="2339"/>
      <c r="I7" s="3747"/>
      <c r="J7" s="778"/>
      <c r="K7" s="779"/>
      <c r="L7" s="774" t="s">
        <v>632</v>
      </c>
      <c r="M7" s="775">
        <f ca="1">F7</f>
        <v>22420</v>
      </c>
    </row>
    <row r="8" spans="1:33" ht="18" customHeight="1">
      <c r="A8" s="2343"/>
      <c r="B8" s="3748"/>
      <c r="C8" s="778"/>
      <c r="D8" s="779"/>
      <c r="E8" s="774" t="s">
        <v>633</v>
      </c>
      <c r="F8" s="775">
        <f ca="1">INDIRECT("'数据-取费表'!ai"&amp;$G$1)</f>
        <v>365</v>
      </c>
      <c r="G8" s="1942"/>
      <c r="H8" s="2339"/>
      <c r="I8" s="3748"/>
      <c r="J8" s="778"/>
      <c r="K8" s="779"/>
      <c r="L8" s="774" t="s">
        <v>633</v>
      </c>
      <c r="M8" s="775">
        <f ca="1">INDIRECT("'数据-取费表'!ai"&amp;$G$1)</f>
        <v>365</v>
      </c>
    </row>
    <row r="9" spans="1:33" ht="18" customHeight="1">
      <c r="A9" s="776"/>
      <c r="B9" s="3749"/>
      <c r="C9" s="778"/>
      <c r="D9" s="779"/>
      <c r="E9" s="774" t="s">
        <v>1731</v>
      </c>
      <c r="F9" s="784">
        <f ca="1">INDIRECT("'数据-取费表'!w"&amp;$G$1)</f>
        <v>0.1</v>
      </c>
      <c r="G9" s="1942"/>
      <c r="H9" s="2355"/>
      <c r="I9" s="3748"/>
      <c r="J9" s="778"/>
      <c r="K9" s="779"/>
      <c r="L9" s="785" t="s">
        <v>1731</v>
      </c>
      <c r="M9" s="786">
        <f ca="1">INDIRECT("'数据-取费表'!ab"&amp;$G$1)</f>
        <v>0</v>
      </c>
    </row>
    <row r="10" spans="1:33" ht="18" customHeight="1">
      <c r="A10" s="1742" t="s">
        <v>1815</v>
      </c>
      <c r="B10" s="2344" t="s">
        <v>2438</v>
      </c>
      <c r="C10" s="789">
        <f ca="1">ROUND(IF(F10="押一",C6/12*F11,IF(F10="押二",C6/12*2*F11,IF(F10="押三",C6/12*3*F11,C11*F11))),0)</f>
        <v>3</v>
      </c>
      <c r="D10" s="2351" t="s">
        <v>2931</v>
      </c>
      <c r="E10" s="2348" t="s">
        <v>2443</v>
      </c>
      <c r="F10" s="2462" t="s">
        <v>3433</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13044</v>
      </c>
      <c r="D13" s="1746" t="s">
        <v>2283</v>
      </c>
      <c r="E13" s="1746" t="s">
        <v>637</v>
      </c>
      <c r="F13" s="2386">
        <f ca="1">INDIRECT("'数据-取费表'!y"&amp;$G$1)</f>
        <v>1</v>
      </c>
      <c r="G13" s="1942"/>
      <c r="H13" s="1741">
        <v>2</v>
      </c>
      <c r="I13" s="1739" t="s">
        <v>638</v>
      </c>
      <c r="J13" s="1731">
        <f ca="1">ROUND(J14*J15,0)</f>
        <v>0</v>
      </c>
      <c r="K13" s="1733" t="s">
        <v>1733</v>
      </c>
      <c r="L13" s="2402"/>
      <c r="M13" s="2403"/>
    </row>
    <row r="14" spans="1:33" ht="18" customHeight="1">
      <c r="A14" s="1573" t="s">
        <v>1821</v>
      </c>
      <c r="B14" s="774" t="s">
        <v>639</v>
      </c>
      <c r="C14" s="794">
        <f ca="1">INDIRECT("'数据-取费表'!m"&amp;$G$1)+INDIRECT("'数据-取费表'!t"&amp;$G$1)</f>
        <v>8440</v>
      </c>
      <c r="D14" s="3395" t="s">
        <v>1735</v>
      </c>
      <c r="E14" s="3396"/>
      <c r="F14" s="795"/>
      <c r="G14" s="1942"/>
      <c r="H14" s="1574" t="s">
        <v>1814</v>
      </c>
      <c r="I14" s="2108" t="s">
        <v>2801</v>
      </c>
      <c r="J14" s="53">
        <f ca="1">C29</f>
        <v>13044</v>
      </c>
      <c r="K14" s="26"/>
      <c r="L14" s="791"/>
      <c r="M14" s="792"/>
    </row>
    <row r="15" spans="1:33" s="1944" customFormat="1" ht="18" customHeight="1" thickBot="1">
      <c r="A15" s="1573" t="s">
        <v>1822</v>
      </c>
      <c r="B15" s="774" t="s">
        <v>641</v>
      </c>
      <c r="C15" s="53">
        <f ca="1">ROUND(C14*F15,0)</f>
        <v>253</v>
      </c>
      <c r="D15" s="796" t="s">
        <v>642</v>
      </c>
      <c r="E15" s="796" t="s">
        <v>1737</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642</v>
      </c>
      <c r="E16" s="774" t="s">
        <v>1737</v>
      </c>
      <c r="F16" s="799">
        <f ca="1">IF(INDIRECT("'数据-取费表'!c"&amp;$G$1)="住宅",'数据-取费表'!B34,0)</f>
        <v>0</v>
      </c>
      <c r="G16" s="1942"/>
      <c r="H16" s="1741" t="s">
        <v>7</v>
      </c>
      <c r="I16" s="1739" t="s">
        <v>1739</v>
      </c>
      <c r="J16" s="782">
        <f ca="1">ROUND(J17+J22+J23+J24,0)</f>
        <v>1293</v>
      </c>
      <c r="K16" s="1733" t="s">
        <v>646</v>
      </c>
      <c r="L16" s="3397"/>
      <c r="M16" s="2341"/>
    </row>
    <row r="17" spans="1:33" s="1944" customFormat="1" ht="18" customHeight="1">
      <c r="A17" s="1573" t="s">
        <v>1877</v>
      </c>
      <c r="B17" s="774" t="s">
        <v>647</v>
      </c>
      <c r="C17" s="53">
        <f ca="1">ROUND(F17*(F43+INDIRECT("'数据-取费表'!S"&amp;$G$1))/10000,0)</f>
        <v>488</v>
      </c>
      <c r="D17" s="774" t="s">
        <v>648</v>
      </c>
      <c r="E17" s="774" t="s">
        <v>649</v>
      </c>
      <c r="F17" s="56">
        <f>'数据-取费表'!B35</f>
        <v>200</v>
      </c>
      <c r="G17" s="3258"/>
      <c r="H17" s="1574" t="s">
        <v>1814</v>
      </c>
      <c r="I17" s="774" t="s">
        <v>650</v>
      </c>
      <c r="J17" s="3016">
        <f ca="1">ROUND(IF(AND(项目基本情况!B11="自然人",项目基本情况!B10="北京市"),J6*M17/(1+'数据-取费表'!C42),J18+J19+J20),0)</f>
        <v>1097</v>
      </c>
      <c r="K17" s="3395" t="s">
        <v>651</v>
      </c>
      <c r="L17" s="339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127</v>
      </c>
      <c r="D18" s="774" t="s">
        <v>642</v>
      </c>
      <c r="E18" s="774" t="s">
        <v>1737</v>
      </c>
      <c r="F18" s="799">
        <f>'数据-取费表'!B36</f>
        <v>1.4999999999999999E-2</v>
      </c>
      <c r="G18" s="3258"/>
      <c r="H18" s="1573" t="s">
        <v>1821</v>
      </c>
      <c r="I18" s="774" t="s">
        <v>654</v>
      </c>
      <c r="J18" s="53">
        <f ca="1">ROUND(J6*M18/(1+'数据-取费表'!C42),1)</f>
        <v>0</v>
      </c>
      <c r="K18" s="3394" t="s">
        <v>655</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9308</v>
      </c>
      <c r="D19" s="259" t="s">
        <v>657</v>
      </c>
      <c r="E19" s="3399"/>
      <c r="F19" s="56"/>
      <c r="G19" s="1942"/>
      <c r="H19" s="1573" t="s">
        <v>1822</v>
      </c>
      <c r="I19" s="774" t="s">
        <v>658</v>
      </c>
      <c r="J19" s="53">
        <f ca="1">IF(K19="按租金收入计税",ROUND(J6*M19/(1+'数据-取费表'!C42),1),ROUND(C29*F33*0.7,1))</f>
        <v>1095.7</v>
      </c>
      <c r="K19" s="800" t="s">
        <v>659</v>
      </c>
      <c r="L19" s="774" t="s">
        <v>1737</v>
      </c>
      <c r="M19" s="799">
        <f>IF(K19="按租金收入计税",'数据-取费表'!B51,'数据-取费表'!B50)</f>
        <v>1.2E-2</v>
      </c>
    </row>
    <row r="20" spans="1:33" s="1944" customFormat="1" ht="18" customHeight="1">
      <c r="A20" s="1574" t="s">
        <v>1879</v>
      </c>
      <c r="B20" s="774" t="s">
        <v>660</v>
      </c>
      <c r="C20" s="53">
        <f ca="1">ROUND(C19*F20,0)</f>
        <v>186</v>
      </c>
      <c r="D20" s="801" t="s">
        <v>661</v>
      </c>
      <c r="E20" s="774" t="s">
        <v>1737</v>
      </c>
      <c r="F20" s="799">
        <f>'数据-取费表'!B37</f>
        <v>0.02</v>
      </c>
      <c r="G20" s="3258"/>
      <c r="H20" s="1576" t="s">
        <v>1823</v>
      </c>
      <c r="I20" s="339" t="s">
        <v>662</v>
      </c>
      <c r="J20" s="54">
        <f ca="1">ROUND(M20*M21/10000,0)</f>
        <v>1</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v>
      </c>
      <c r="D21" s="801" t="s">
        <v>2284</v>
      </c>
      <c r="E21" s="774" t="s">
        <v>1755</v>
      </c>
      <c r="F21" s="799">
        <f>'数据-取费表'!B38</f>
        <v>0.02</v>
      </c>
      <c r="G21" s="3258"/>
      <c r="H21" s="2356"/>
      <c r="I21" s="783"/>
      <c r="J21" s="69"/>
      <c r="K21" s="805"/>
      <c r="L21" s="774" t="s">
        <v>1756</v>
      </c>
      <c r="M21" s="775">
        <f ca="1">INDIRECT("'数据-取费表'!r"&amp;$G$1)</f>
        <v>2409.21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399"/>
      <c r="F22" s="56"/>
      <c r="G22" s="1942"/>
      <c r="H22" s="1574" t="s">
        <v>1879</v>
      </c>
      <c r="I22" s="774" t="s">
        <v>1758</v>
      </c>
      <c r="J22" s="53">
        <f ca="1">ROUND(J14*M22,0)</f>
        <v>196</v>
      </c>
      <c r="K22" s="3394" t="s">
        <v>1759</v>
      </c>
      <c r="L22" s="774" t="s">
        <v>1737</v>
      </c>
      <c r="M22" s="806">
        <f ca="1">INDIRECT("'数据-取费表'!Ak"&amp;$G$1)</f>
        <v>1.4999999999999999E-2</v>
      </c>
    </row>
    <row r="23" spans="1:33" s="1944" customFormat="1" ht="18" customHeight="1">
      <c r="A23" s="1573" t="s">
        <v>1821</v>
      </c>
      <c r="B23" s="774" t="s">
        <v>2419</v>
      </c>
      <c r="C23" s="53">
        <f ca="1">ROUND(IF('数据-取费表'!B22&lt;=1,(C19+C20)*F24*F23/2,(C19+C20)*(POWER((1+F24),F23/2)-1)),0)</f>
        <v>626</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394" t="s">
        <v>1761</v>
      </c>
      <c r="L23" s="774" t="s">
        <v>1737</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f ca="1">ROUND(J5*M24,0)</f>
        <v>0</v>
      </c>
      <c r="K24" s="2395" t="s">
        <v>1764</v>
      </c>
      <c r="L24" s="2396" t="s">
        <v>1737</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399"/>
      <c r="F25" s="56"/>
      <c r="G25" s="1942"/>
      <c r="H25" s="1741" t="s">
        <v>1766</v>
      </c>
      <c r="I25" s="2720" t="s">
        <v>2798</v>
      </c>
      <c r="J25" s="782">
        <f ca="1">J5-J16</f>
        <v>-1293</v>
      </c>
      <c r="K25" s="2398" t="s">
        <v>1767</v>
      </c>
      <c r="L25" s="2399"/>
      <c r="M25" s="2400"/>
    </row>
    <row r="26" spans="1:33" ht="18" customHeight="1">
      <c r="A26" s="1573" t="s">
        <v>1821</v>
      </c>
      <c r="B26" s="774" t="s">
        <v>2420</v>
      </c>
      <c r="C26" s="53">
        <f ca="1">ROUND((C19+C20)*F26,0)</f>
        <v>1899</v>
      </c>
      <c r="D26" s="801" t="s">
        <v>1768</v>
      </c>
      <c r="E26" s="785" t="s">
        <v>696</v>
      </c>
      <c r="F26" s="784">
        <f ca="1">INDIRECT("'数据-取费表'!q"&amp;$G$1)</f>
        <v>0.2</v>
      </c>
      <c r="G26" s="1942"/>
      <c r="H26" s="2352" t="s">
        <v>1770</v>
      </c>
      <c r="I26" s="2109" t="s">
        <v>2803</v>
      </c>
      <c r="J26" s="773">
        <f ca="1">IF(J5&lt;&gt;0,ROUND(J25*(1-((1+M28)/(1+M26))^M27)/(M26-M28),0),0)</f>
        <v>0</v>
      </c>
      <c r="K26" s="803" t="s">
        <v>698</v>
      </c>
      <c r="L26" s="774" t="s">
        <v>2402</v>
      </c>
      <c r="M26" s="784">
        <f ca="1">INDIRECT("'数据-取费表'!I"&amp;$G$1)</f>
        <v>0.06</v>
      </c>
    </row>
    <row r="27" spans="1:33" ht="18" customHeight="1">
      <c r="A27" s="1573" t="s">
        <v>1822</v>
      </c>
      <c r="B27" s="774" t="s">
        <v>680</v>
      </c>
      <c r="C27" s="53">
        <f ca="1">ROUND(F21*F26,4)</f>
        <v>4.0000000000000001E-3</v>
      </c>
      <c r="D27" s="801" t="s">
        <v>700</v>
      </c>
      <c r="E27" s="796"/>
      <c r="F27" s="797"/>
      <c r="G27" s="1942"/>
      <c r="H27" s="2353"/>
      <c r="I27" s="777"/>
      <c r="J27" s="778"/>
      <c r="K27" s="810" t="s">
        <v>701</v>
      </c>
      <c r="L27" s="774" t="s">
        <v>702</v>
      </c>
      <c r="M27" s="811">
        <f ca="1">INDIRECT("'数据-取费表'!ag"&amp;$G$1)</f>
        <v>0</v>
      </c>
    </row>
    <row r="28" spans="1:33" s="1944" customFormat="1" ht="18" customHeight="1">
      <c r="A28" s="1575" t="s">
        <v>1831</v>
      </c>
      <c r="B28" s="774" t="s">
        <v>681</v>
      </c>
      <c r="C28" s="53">
        <f>ROUND(F28/(1+'数据-取费表'!C42),4)</f>
        <v>5.33E-2</v>
      </c>
      <c r="D28" s="801" t="s">
        <v>2285</v>
      </c>
      <c r="E28" s="774" t="s">
        <v>1737</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13044</v>
      </c>
      <c r="D29" s="2395"/>
      <c r="E29" s="2396"/>
      <c r="F29" s="2397"/>
      <c r="G29" s="3258"/>
      <c r="H29" s="812" t="s">
        <v>1777</v>
      </c>
      <c r="I29" s="813" t="s">
        <v>1778</v>
      </c>
      <c r="J29" s="814">
        <f ca="1">ROUND(J26/(1+F40)^F41,0)</f>
        <v>0</v>
      </c>
      <c r="K29" s="815" t="s">
        <v>1779</v>
      </c>
      <c r="L29" s="816"/>
      <c r="M29" s="817">
        <f ca="1">INDIRECT("'数据-取费表'!k"&amp;$G$1)</f>
        <v>22420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7</v>
      </c>
      <c r="B30" s="1739" t="s">
        <v>1739</v>
      </c>
      <c r="C30" s="782">
        <f ca="1">ROUND(C31+C36+C37+C38,0)</f>
        <v>688</v>
      </c>
      <c r="D30" s="1733" t="s">
        <v>646</v>
      </c>
      <c r="E30" s="3397"/>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446</v>
      </c>
      <c r="D31" s="3395" t="s">
        <v>651</v>
      </c>
      <c r="E31" s="3394" t="s">
        <v>1783</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654</v>
      </c>
      <c r="C32" s="53">
        <f ca="1">ROUND(C6*F32/(1+'数据-取费表'!C42),1)</f>
        <v>141.4</v>
      </c>
      <c r="D32" s="3394" t="s">
        <v>655</v>
      </c>
      <c r="E32" s="774" t="s">
        <v>1737</v>
      </c>
      <c r="F32" s="799">
        <f>'数据-取费表'!B41</f>
        <v>5.6000000000000001E-2</v>
      </c>
      <c r="G32" s="1942"/>
      <c r="H32" s="1951"/>
      <c r="I32" s="1952"/>
      <c r="J32" s="1953"/>
      <c r="K32" s="1954"/>
      <c r="L32" s="1955"/>
      <c r="M32" s="1956"/>
    </row>
    <row r="33" spans="1:18" ht="18" customHeight="1">
      <c r="A33" s="1573" t="s">
        <v>1822</v>
      </c>
      <c r="B33" s="774" t="s">
        <v>658</v>
      </c>
      <c r="C33" s="53">
        <f ca="1">IF(D33="按租金收入计税",ROUND(C6*F33/(1+'数据-取费表'!C42),1),IF(D33="按房产原值计税",ROUND(C29*F33*0.7,1),INDIRECT("'数据-取费表'!Aj"&amp;$G$1)))</f>
        <v>303</v>
      </c>
      <c r="D33" s="800" t="s">
        <v>3434</v>
      </c>
      <c r="E33" s="774" t="s">
        <v>1737</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1.4</v>
      </c>
      <c r="D34" s="803" t="s">
        <v>1751</v>
      </c>
      <c r="E34" s="774" t="s">
        <v>1752</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2409.21</v>
      </c>
      <c r="G35" s="1942"/>
      <c r="H35" s="1945"/>
      <c r="I35" s="826" t="s">
        <v>1804</v>
      </c>
      <c r="J35" s="827">
        <f ca="1">ROUND(C13*J36,0)</f>
        <v>1109</v>
      </c>
      <c r="K35" s="1958"/>
      <c r="L35" s="1957"/>
      <c r="M35" s="1957"/>
    </row>
    <row r="36" spans="1:18" ht="18" customHeight="1">
      <c r="A36" s="1574" t="s">
        <v>1879</v>
      </c>
      <c r="B36" s="774" t="s">
        <v>1758</v>
      </c>
      <c r="C36" s="53">
        <f ca="1">ROUND(C29*F36,1)</f>
        <v>195.7</v>
      </c>
      <c r="D36" s="3394" t="s">
        <v>685</v>
      </c>
      <c r="E36" s="774" t="s">
        <v>1737</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19.600000000000001</v>
      </c>
      <c r="D37" s="3394" t="s">
        <v>1761</v>
      </c>
      <c r="E37" s="774" t="s">
        <v>1737</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26.5</v>
      </c>
      <c r="D38" s="2395" t="s">
        <v>1764</v>
      </c>
      <c r="E38" s="2396" t="s">
        <v>1737</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1966</v>
      </c>
      <c r="D39" s="2398" t="s">
        <v>1767</v>
      </c>
      <c r="E39" s="2399"/>
      <c r="F39" s="2400"/>
      <c r="G39" s="1942"/>
      <c r="H39" s="1957"/>
      <c r="I39" s="826" t="s">
        <v>1808</v>
      </c>
      <c r="J39" s="834">
        <f ca="1">ROUND(J35/C39,3)</f>
        <v>0.56399999999999995</v>
      </c>
      <c r="K39" s="1962"/>
      <c r="L39" s="1957"/>
      <c r="M39" s="1957"/>
    </row>
    <row r="40" spans="1:18" ht="18" customHeight="1">
      <c r="A40" s="771" t="s">
        <v>1770</v>
      </c>
      <c r="B40" s="2109" t="s">
        <v>2287</v>
      </c>
      <c r="C40" s="773">
        <f ca="1">ROUND(C39*(1-((1+F42)/(1+F40))^F41)/(F40-F42),0)</f>
        <v>37766</v>
      </c>
      <c r="D40" s="803" t="s">
        <v>698</v>
      </c>
      <c r="E40" s="774" t="s">
        <v>2402</v>
      </c>
      <c r="F40" s="784">
        <f ca="1">INDIRECT("'数据-取费表'!I"&amp;$G$1)</f>
        <v>0.06</v>
      </c>
      <c r="G40" s="1942"/>
      <c r="H40" s="1942"/>
      <c r="I40" s="826" t="s">
        <v>1809</v>
      </c>
      <c r="J40" s="834">
        <f ca="1">1-J39</f>
        <v>0.43600000000000005</v>
      </c>
      <c r="K40" s="1962"/>
      <c r="L40" s="1942"/>
      <c r="M40" s="1942"/>
    </row>
    <row r="41" spans="1:18" ht="18" customHeight="1">
      <c r="A41" s="776"/>
      <c r="B41" s="777"/>
      <c r="C41" s="778"/>
      <c r="D41" s="810" t="s">
        <v>1798</v>
      </c>
      <c r="E41" s="774" t="s">
        <v>702</v>
      </c>
      <c r="F41" s="811">
        <f ca="1">IF(INDIRECT("'数据-取费表'!af"&amp;$G$1)=0,INDIRECT("'数据-取费表'!ae"&amp;$G$1),INDIRECT("'数据-取费表'!af"&amp;$G$1))</f>
        <v>33.229999999999997</v>
      </c>
      <c r="G41" s="1942"/>
      <c r="H41" s="1897"/>
      <c r="I41" s="832" t="s">
        <v>1810</v>
      </c>
      <c r="J41" s="835"/>
      <c r="K41" s="1961"/>
      <c r="L41" s="1897"/>
      <c r="M41" s="1897"/>
    </row>
    <row r="42" spans="1:18" ht="18" customHeight="1">
      <c r="A42" s="780"/>
      <c r="B42" s="781"/>
      <c r="C42" s="782"/>
      <c r="D42" s="805"/>
      <c r="E42" s="774" t="s">
        <v>1776</v>
      </c>
      <c r="F42" s="784">
        <f ca="1">INDIRECT("'数据-取费表'!v"&amp;$G$1)</f>
        <v>2.5000000000000001E-2</v>
      </c>
      <c r="G42" s="1942"/>
      <c r="H42" s="1897"/>
      <c r="I42" s="836" t="s">
        <v>1811</v>
      </c>
      <c r="J42" s="834">
        <f ca="1">ROUND(C13/C40,3)</f>
        <v>0.34499999999999997</v>
      </c>
      <c r="K42" s="1961"/>
      <c r="L42" s="1897"/>
      <c r="M42" s="1897"/>
    </row>
    <row r="43" spans="1:18" ht="18" customHeight="1" thickBot="1">
      <c r="A43" s="812" t="s">
        <v>1777</v>
      </c>
      <c r="B43" s="813" t="s">
        <v>1800</v>
      </c>
      <c r="C43" s="814">
        <f ca="1">ROUND(C40*10000/F43,0)</f>
        <v>16845</v>
      </c>
      <c r="D43" s="815" t="s">
        <v>1801</v>
      </c>
      <c r="E43" s="816" t="s">
        <v>1802</v>
      </c>
      <c r="F43" s="817">
        <f ca="1">INDIRECT("'数据-取费表'!k"&amp;$G$1)</f>
        <v>22420</v>
      </c>
      <c r="G43" s="1942"/>
      <c r="H43" s="1897"/>
      <c r="I43" s="836" t="s">
        <v>1812</v>
      </c>
      <c r="J43" s="837">
        <f ca="1">1-J42</f>
        <v>0.65500000000000003</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-40847</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36.229999999999997</v>
      </c>
      <c r="M48" s="3260"/>
      <c r="O48" s="2250" t="s">
        <v>2362</v>
      </c>
      <c r="P48" s="2251" t="s">
        <v>2388</v>
      </c>
      <c r="Q48" s="2252">
        <f ca="1">C40+J29</f>
        <v>37766</v>
      </c>
      <c r="R48" s="2251" t="s">
        <v>2363</v>
      </c>
    </row>
    <row r="49" spans="1:18" s="1939" customFormat="1" ht="18" customHeight="1" thickBot="1">
      <c r="A49" s="776"/>
      <c r="B49" s="777"/>
      <c r="C49" s="778"/>
      <c r="D49" s="779"/>
      <c r="E49" s="774" t="s">
        <v>632</v>
      </c>
      <c r="F49" s="775">
        <f ca="1">F7</f>
        <v>22420</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13044</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14959</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33.229999999999997</v>
      </c>
      <c r="K53" s="3763" t="s">
        <v>2924</v>
      </c>
      <c r="L53" s="3764"/>
      <c r="M53" s="3260"/>
      <c r="O53" s="2253" t="s">
        <v>2371</v>
      </c>
      <c r="P53" s="2251" t="s">
        <v>2372</v>
      </c>
      <c r="Q53" s="2252">
        <f ca="1">J53</f>
        <v>33.229999999999997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37766</v>
      </c>
      <c r="R54" s="2255" t="s">
        <v>2375</v>
      </c>
    </row>
    <row r="55" spans="1:18" s="1939" customFormat="1" ht="18" customHeight="1" thickTop="1" thickBot="1">
      <c r="A55" s="787">
        <v>2</v>
      </c>
      <c r="B55" s="788" t="s">
        <v>638</v>
      </c>
      <c r="C55" s="789">
        <f ca="1">C13</f>
        <v>13044</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13044</v>
      </c>
      <c r="D56" s="3394"/>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7</v>
      </c>
      <c r="B57" s="788" t="s">
        <v>645</v>
      </c>
      <c r="C57" s="789">
        <f ca="1">ROUND(C58+C63+C64+C65,0)</f>
        <v>216</v>
      </c>
      <c r="D57" s="26" t="s">
        <v>646</v>
      </c>
      <c r="E57" s="3399"/>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37766</v>
      </c>
      <c r="R57" s="2251" t="s">
        <v>2363</v>
      </c>
    </row>
    <row r="58" spans="1:18" s="1939" customFormat="1" ht="28.5" customHeight="1" thickBot="1">
      <c r="A58" s="1574" t="s">
        <v>1814</v>
      </c>
      <c r="B58" s="774" t="s">
        <v>650</v>
      </c>
      <c r="C58" s="3016">
        <f ca="1">ROUND(IF(AND(项目基本情况!B11="自然人",项目基本情况!B10="北京市"),C48*F58/(1+'数据-取费表'!C42),C59+C60+C61),0)</f>
        <v>1</v>
      </c>
      <c r="D58" s="3395" t="s">
        <v>651</v>
      </c>
      <c r="E58" s="3394"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394" t="s">
        <v>655</v>
      </c>
      <c r="E59" s="774" t="s">
        <v>1737</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658</v>
      </c>
      <c r="C60" s="53">
        <f ca="1">IF(D60="按租金收入计税",ROUND(C47*F60,1),IF(D60="按房产原值计税",ROUND(C56*F60*0.7,1),INDIRECT("'数据-取费表'!Aj"&amp;$G$1)))</f>
        <v>0</v>
      </c>
      <c r="D60" s="3394" t="str">
        <f>D33</f>
        <v>按租金收入计税</v>
      </c>
      <c r="E60" s="774" t="s">
        <v>1737</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1.4</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2409.21</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195.7</v>
      </c>
      <c r="D63" s="3394" t="s">
        <v>685</v>
      </c>
      <c r="E63" s="774" t="s">
        <v>1737</v>
      </c>
      <c r="F63" s="806">
        <f t="shared" ca="1" si="0"/>
        <v>1.4999999999999999E-2</v>
      </c>
      <c r="I63" s="2821" t="s">
        <v>2353</v>
      </c>
      <c r="J63" s="2822">
        <v>70</v>
      </c>
      <c r="K63" s="2822">
        <v>50</v>
      </c>
      <c r="L63" s="2822">
        <v>80</v>
      </c>
      <c r="M63" s="2824">
        <v>0.02</v>
      </c>
      <c r="O63" s="2250" t="s">
        <v>2374</v>
      </c>
      <c r="P63" s="2251" t="s">
        <v>2391</v>
      </c>
      <c r="Q63" s="2252">
        <f ca="1">Q57+Q58</f>
        <v>37766</v>
      </c>
      <c r="R63" s="2255" t="s">
        <v>2375</v>
      </c>
    </row>
    <row r="64" spans="1:18" s="1939" customFormat="1" ht="16.5" thickBot="1">
      <c r="A64" s="1574" t="s">
        <v>1880</v>
      </c>
      <c r="B64" s="774" t="s">
        <v>673</v>
      </c>
      <c r="C64" s="53">
        <f ca="1">ROUND(C55*F64,1)</f>
        <v>19.600000000000001</v>
      </c>
      <c r="D64" s="3394" t="s">
        <v>674</v>
      </c>
      <c r="E64" s="774" t="s">
        <v>1737</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394" t="s">
        <v>677</v>
      </c>
      <c r="E65" s="774" t="s">
        <v>1737</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-216</v>
      </c>
      <c r="D66" s="3395" t="s">
        <v>694</v>
      </c>
      <c r="E66" s="3398"/>
      <c r="F66" s="809"/>
      <c r="K66" s="1965"/>
      <c r="O66" s="2250" t="s">
        <v>2362</v>
      </c>
      <c r="P66" s="2251" t="s">
        <v>2388</v>
      </c>
      <c r="Q66" s="2252">
        <f ca="1">C40+J29</f>
        <v>37766</v>
      </c>
      <c r="R66" s="2251" t="s">
        <v>2363</v>
      </c>
    </row>
    <row r="67" spans="1:18" s="1939" customFormat="1" ht="20.25" thickBot="1">
      <c r="A67" s="771" t="s">
        <v>1770</v>
      </c>
      <c r="B67" s="2109" t="s">
        <v>2287</v>
      </c>
      <c r="C67" s="773">
        <f ca="1">ROUND(C66*(1-((1+F69)/(1+F67))^F68)/(F67-F69),0)</f>
        <v>-3081</v>
      </c>
      <c r="D67" s="803" t="s">
        <v>698</v>
      </c>
      <c r="E67" s="774" t="s">
        <v>699</v>
      </c>
      <c r="F67" s="784">
        <f ca="1">F40</f>
        <v>0.06</v>
      </c>
      <c r="K67" s="1965"/>
      <c r="O67" s="2250" t="s">
        <v>2364</v>
      </c>
      <c r="P67" s="2251" t="s">
        <v>2395</v>
      </c>
      <c r="Q67" s="2252">
        <f ca="1">L60</f>
        <v>0</v>
      </c>
      <c r="R67" s="2255" t="s">
        <v>2397</v>
      </c>
    </row>
    <row r="68" spans="1:18" ht="21.75" thickBot="1">
      <c r="A68" s="776"/>
      <c r="B68" s="777"/>
      <c r="C68" s="778"/>
      <c r="D68" s="810" t="s">
        <v>1798</v>
      </c>
      <c r="E68" s="774" t="s">
        <v>702</v>
      </c>
      <c r="F68" s="811">
        <f ca="1">F41</f>
        <v>33.229999999999997</v>
      </c>
      <c r="O68" s="2253" t="s">
        <v>2366</v>
      </c>
      <c r="P68" s="2251" t="s">
        <v>2396</v>
      </c>
      <c r="Q68" s="2257">
        <f ca="1">L51</f>
        <v>14959</v>
      </c>
      <c r="R68" s="2258" t="s">
        <v>2399</v>
      </c>
    </row>
    <row r="69" spans="1:18" ht="20.25" thickBot="1">
      <c r="A69" s="780"/>
      <c r="B69" s="781"/>
      <c r="C69" s="782"/>
      <c r="D69" s="805"/>
      <c r="E69" s="774" t="s">
        <v>704</v>
      </c>
      <c r="F69" s="2223"/>
      <c r="O69" s="2253" t="s">
        <v>2367</v>
      </c>
      <c r="P69" s="2259" t="s">
        <v>2381</v>
      </c>
      <c r="Q69" s="2252">
        <f ca="1">ROUND(Q70-Q71*Q72,0)</f>
        <v>857</v>
      </c>
      <c r="R69" s="2255"/>
    </row>
    <row r="70" spans="1:18" ht="15.75" thickBot="1">
      <c r="A70" s="812" t="s">
        <v>1777</v>
      </c>
      <c r="B70" s="813" t="s">
        <v>1800</v>
      </c>
      <c r="C70" s="814">
        <f ca="1">ROUND(C67*10000/F70,0)</f>
        <v>-1374</v>
      </c>
      <c r="D70" s="815" t="s">
        <v>1801</v>
      </c>
      <c r="E70" s="816" t="s">
        <v>1802</v>
      </c>
      <c r="F70" s="817">
        <f ca="1">F43</f>
        <v>22420</v>
      </c>
      <c r="O70" s="2253" t="s">
        <v>2382</v>
      </c>
      <c r="P70" s="2259" t="s">
        <v>2383</v>
      </c>
      <c r="Q70" s="2252">
        <f ca="1">C39</f>
        <v>1966</v>
      </c>
      <c r="R70" s="2251" t="s">
        <v>2363</v>
      </c>
    </row>
    <row r="71" spans="1:18" ht="15.75" thickBot="1">
      <c r="O71" s="2253" t="s">
        <v>2384</v>
      </c>
      <c r="P71" s="2259" t="s">
        <v>2385</v>
      </c>
      <c r="Q71" s="2252">
        <f ca="1">C13</f>
        <v>13044</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37766</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7" priority="6">
      <formula>$L$48&gt;$J$51</formula>
    </cfRule>
  </conditionalFormatting>
  <conditionalFormatting sqref="I55">
    <cfRule type="expression" dxfId="76" priority="7">
      <formula>$J$51&gt;$L$48</formula>
    </cfRule>
  </conditionalFormatting>
  <conditionalFormatting sqref="I60">
    <cfRule type="expression" dxfId="75" priority="5">
      <formula>$J$51&gt;$L$48</formula>
    </cfRule>
  </conditionalFormatting>
  <conditionalFormatting sqref="K60">
    <cfRule type="expression" dxfId="74" priority="4">
      <formula>$L$48&gt;$J$51</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pageSetUpPr fitToPage="1"/>
  </sheetPr>
  <dimension ref="A1:AG76"/>
  <sheetViews>
    <sheetView view="pageBreakPreview" topLeftCell="A31" zoomScale="80" zoomScaleNormal="60" zoomScaleSheetLayoutView="80" workbookViewId="0">
      <selection activeCell="G35" sqref="G3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3063</v>
      </c>
      <c r="D1" s="2795" t="s">
        <v>3432</v>
      </c>
      <c r="E1" s="2239" t="s">
        <v>2357</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1716</v>
      </c>
      <c r="B2" s="765" t="e">
        <f ca="1">C40+J29+L46</f>
        <v>#N/A</v>
      </c>
      <c r="C2" s="3261"/>
      <c r="D2" s="3262"/>
      <c r="E2" s="3263"/>
      <c r="F2" s="3263"/>
      <c r="G2" s="3257"/>
      <c r="H2" s="1937"/>
      <c r="I2" s="1937"/>
      <c r="J2" s="1937"/>
      <c r="K2" s="1938"/>
      <c r="L2" s="1937"/>
      <c r="M2" s="1937"/>
    </row>
    <row r="3" spans="1:33" ht="18" customHeight="1" thickBot="1">
      <c r="A3" s="822" t="s">
        <v>1717</v>
      </c>
      <c r="B3" s="823">
        <f ca="1">IF(ISERROR(B2*10000/F43),0,ROUND(B2*10000/F43,0))</f>
        <v>0</v>
      </c>
      <c r="C3" s="3261"/>
      <c r="D3" s="3262"/>
      <c r="E3" s="3263"/>
      <c r="F3" s="3263"/>
      <c r="G3" s="3257"/>
      <c r="H3" s="766" t="s">
        <v>689</v>
      </c>
      <c r="I3" s="1314"/>
      <c r="J3" s="1314"/>
      <c r="K3" s="1522"/>
      <c r="L3" s="1314"/>
      <c r="M3" s="1314"/>
    </row>
    <row r="4" spans="1:33" ht="18" customHeight="1">
      <c r="A4" s="767" t="s">
        <v>1718</v>
      </c>
      <c r="B4" s="768" t="s">
        <v>1719</v>
      </c>
      <c r="C4" s="768" t="s">
        <v>1720</v>
      </c>
      <c r="D4" s="768" t="s">
        <v>627</v>
      </c>
      <c r="E4" s="769" t="s">
        <v>1721</v>
      </c>
      <c r="F4" s="770"/>
      <c r="G4" s="1942"/>
      <c r="H4" s="767" t="s">
        <v>1722</v>
      </c>
      <c r="I4" s="768" t="s">
        <v>1723</v>
      </c>
      <c r="J4" s="768" t="s">
        <v>1724</v>
      </c>
      <c r="K4" s="768" t="s">
        <v>1725</v>
      </c>
      <c r="L4" s="769" t="s">
        <v>1726</v>
      </c>
      <c r="M4" s="770"/>
    </row>
    <row r="5" spans="1:33" ht="18" customHeight="1">
      <c r="A5" s="771">
        <v>1</v>
      </c>
      <c r="B5" s="772" t="s">
        <v>2437</v>
      </c>
      <c r="C5" s="55" t="e">
        <f ca="1">C6+C10+C12</f>
        <v>#N/A</v>
      </c>
      <c r="D5" s="2346" t="s">
        <v>2440</v>
      </c>
      <c r="E5" s="2340"/>
      <c r="F5" s="2341"/>
      <c r="G5" s="1942"/>
      <c r="H5" s="771">
        <v>1</v>
      </c>
      <c r="I5" s="772" t="s">
        <v>2437</v>
      </c>
      <c r="J5" s="55" t="e">
        <f ca="1">J6+J10+J12</f>
        <v>#N/A</v>
      </c>
      <c r="K5" s="2346" t="s">
        <v>2440</v>
      </c>
      <c r="L5" s="2340"/>
      <c r="M5" s="2341"/>
    </row>
    <row r="6" spans="1:33" ht="18" customHeight="1">
      <c r="A6" s="1742" t="s">
        <v>1814</v>
      </c>
      <c r="B6" s="3746" t="s">
        <v>2442</v>
      </c>
      <c r="C6" s="773" t="e">
        <f ca="1">ROUND(F6*F8*F7*(1-F9)/10000,0)</f>
        <v>#N/A</v>
      </c>
      <c r="D6" s="2347" t="s">
        <v>2441</v>
      </c>
      <c r="E6" s="774" t="s">
        <v>1728</v>
      </c>
      <c r="F6" s="775" t="e">
        <f ca="1">INDIRECT("'数据-取费表'!u"&amp;$G$1)</f>
        <v>#N/A</v>
      </c>
      <c r="G6" s="1942"/>
      <c r="H6" s="2354" t="s">
        <v>2447</v>
      </c>
      <c r="I6" s="3746" t="s">
        <v>2442</v>
      </c>
      <c r="J6" s="773" t="e">
        <f ca="1">ROUND(M6*M8*M7*(1-M9)/10000,0)</f>
        <v>#N/A</v>
      </c>
      <c r="K6" s="339" t="s">
        <v>1727</v>
      </c>
      <c r="L6" s="774" t="s">
        <v>1728</v>
      </c>
      <c r="M6" s="775" t="e">
        <f ca="1">INDIRECT("'数据-取费表'!z"&amp;$G$1)</f>
        <v>#N/A</v>
      </c>
    </row>
    <row r="7" spans="1:33" ht="18" customHeight="1">
      <c r="A7" s="2350"/>
      <c r="B7" s="3747"/>
      <c r="C7" s="778"/>
      <c r="D7" s="779"/>
      <c r="E7" s="774" t="s">
        <v>1729</v>
      </c>
      <c r="F7" s="775" t="e">
        <f ca="1">IF(INDIRECT("'数据-取费表'!ah"&amp;$G$1)="",INDIRECT("'数据-取费表'!k"&amp;$G$1),INDIRECT("'数据-取费表'!ah"&amp;$G$1))</f>
        <v>#N/A</v>
      </c>
      <c r="G7" s="1942"/>
      <c r="H7" s="2339"/>
      <c r="I7" s="3747"/>
      <c r="J7" s="778"/>
      <c r="K7" s="779"/>
      <c r="L7" s="774" t="s">
        <v>1729</v>
      </c>
      <c r="M7" s="775" t="e">
        <f ca="1">F7</f>
        <v>#N/A</v>
      </c>
    </row>
    <row r="8" spans="1:33" ht="18" customHeight="1">
      <c r="A8" s="2343"/>
      <c r="B8" s="3748"/>
      <c r="C8" s="778"/>
      <c r="D8" s="779"/>
      <c r="E8" s="774" t="s">
        <v>1730</v>
      </c>
      <c r="F8" s="775" t="e">
        <f ca="1">INDIRECT("'数据-取费表'!ai"&amp;$G$1)</f>
        <v>#N/A</v>
      </c>
      <c r="G8" s="1942"/>
      <c r="H8" s="2339"/>
      <c r="I8" s="3748"/>
      <c r="J8" s="778"/>
      <c r="K8" s="779"/>
      <c r="L8" s="774" t="s">
        <v>1730</v>
      </c>
      <c r="M8" s="775" t="e">
        <f ca="1">INDIRECT("'数据-取费表'!ai"&amp;$G$1)</f>
        <v>#N/A</v>
      </c>
    </row>
    <row r="9" spans="1:33" ht="18" customHeight="1">
      <c r="A9" s="776"/>
      <c r="B9" s="3749"/>
      <c r="C9" s="778"/>
      <c r="D9" s="779"/>
      <c r="E9" s="774" t="s">
        <v>1731</v>
      </c>
      <c r="F9" s="784" t="e">
        <f ca="1">INDIRECT("'数据-取费表'!w"&amp;$G$1)</f>
        <v>#N/A</v>
      </c>
      <c r="G9" s="1942"/>
      <c r="H9" s="2355"/>
      <c r="I9" s="3748"/>
      <c r="J9" s="778"/>
      <c r="K9" s="779"/>
      <c r="L9" s="785" t="s">
        <v>1731</v>
      </c>
      <c r="M9" s="786" t="e">
        <f ca="1">INDIRECT("'数据-取费表'!ab"&amp;$G$1)</f>
        <v>#N/A</v>
      </c>
    </row>
    <row r="10" spans="1:33" ht="18" customHeight="1">
      <c r="A10" s="1742" t="s">
        <v>2445</v>
      </c>
      <c r="B10" s="2344" t="s">
        <v>2438</v>
      </c>
      <c r="C10" s="789" t="e">
        <f ca="1">ROUND(IF(F10="押一",C6/12*F11,IF(F10="押二",C6/12*2*F11,IF(F10="押三",C6/12*3*F11,C11*F11))),0)</f>
        <v>#N/A</v>
      </c>
      <c r="D10" s="2351" t="s">
        <v>2931</v>
      </c>
      <c r="E10" s="2348" t="s">
        <v>2443</v>
      </c>
      <c r="F10" s="2462" t="s">
        <v>3433</v>
      </c>
      <c r="G10" s="1942"/>
      <c r="H10" s="2411" t="s">
        <v>2448</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2444</v>
      </c>
      <c r="F11" s="786">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2" t="e">
        <f ca="1">ROUND(C29*F13,0)</f>
        <v>#N/A</v>
      </c>
      <c r="D13" s="1746" t="s">
        <v>2283</v>
      </c>
      <c r="E13" s="1746" t="s">
        <v>1734</v>
      </c>
      <c r="F13" s="2386" t="e">
        <f ca="1">INDIRECT("'数据-取费表'!y"&amp;$G$1)</f>
        <v>#N/A</v>
      </c>
      <c r="G13" s="1942"/>
      <c r="H13" s="1741">
        <v>2</v>
      </c>
      <c r="I13" s="1739" t="s">
        <v>1732</v>
      </c>
      <c r="J13" s="1731" t="e">
        <f ca="1">ROUND(J14*J15,0)</f>
        <v>#N/A</v>
      </c>
      <c r="K13" s="1733" t="s">
        <v>1733</v>
      </c>
      <c r="L13" s="2402"/>
      <c r="M13" s="2403"/>
    </row>
    <row r="14" spans="1:33" ht="18" customHeight="1">
      <c r="A14" s="1573" t="s">
        <v>1874</v>
      </c>
      <c r="B14" s="774" t="s">
        <v>639</v>
      </c>
      <c r="C14" s="794" t="e">
        <f ca="1">INDIRECT("'数据-取费表'!m"&amp;$G$1)+INDIRECT("'数据-取费表'!t"&amp;$G$1)</f>
        <v>#N/A</v>
      </c>
      <c r="D14" s="1890" t="s">
        <v>1735</v>
      </c>
      <c r="E14" s="1891"/>
      <c r="F14" s="795"/>
      <c r="G14" s="1942"/>
      <c r="H14" s="1574" t="s">
        <v>1820</v>
      </c>
      <c r="I14" s="2108" t="s">
        <v>2802</v>
      </c>
      <c r="J14" s="53" t="e">
        <f ca="1">C29</f>
        <v>#N/A</v>
      </c>
      <c r="K14" s="26"/>
      <c r="L14" s="791"/>
      <c r="M14" s="792"/>
    </row>
    <row r="15" spans="1:33" s="1944" customFormat="1" ht="18" customHeight="1" thickBot="1">
      <c r="A15" s="1573" t="s">
        <v>1875</v>
      </c>
      <c r="B15" s="774" t="s">
        <v>641</v>
      </c>
      <c r="C15" s="53" t="e">
        <f ca="1">ROUND(C14*F15,0)</f>
        <v>#N/A</v>
      </c>
      <c r="D15" s="796" t="s">
        <v>1736</v>
      </c>
      <c r="E15" s="796" t="s">
        <v>1737</v>
      </c>
      <c r="F15" s="797">
        <f>'数据-取费表'!B33</f>
        <v>0.03</v>
      </c>
      <c r="G15" s="3258"/>
      <c r="H15" s="2401" t="s">
        <v>1879</v>
      </c>
      <c r="I15" s="2396" t="s">
        <v>1734</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1876</v>
      </c>
      <c r="B16" s="774" t="s">
        <v>644</v>
      </c>
      <c r="C16" s="53" t="e">
        <f ca="1">ROUND(INDIRECT("'数据-取费表'!m"&amp;$G$1)*F16,0)</f>
        <v>#N/A</v>
      </c>
      <c r="D16" s="774" t="s">
        <v>1736</v>
      </c>
      <c r="E16" s="774" t="s">
        <v>1737</v>
      </c>
      <c r="F16" s="799" t="e">
        <f ca="1">IF(INDIRECT("'数据-取费表'!c"&amp;$G$1)="住宅",'数据-取费表'!B34,0)</f>
        <v>#N/A</v>
      </c>
      <c r="G16" s="1942"/>
      <c r="H16" s="1741" t="s">
        <v>1738</v>
      </c>
      <c r="I16" s="1739" t="s">
        <v>1739</v>
      </c>
      <c r="J16" s="782" t="e">
        <f ca="1">ROUND(J17+J22+J23+J24,0)</f>
        <v>#N/A</v>
      </c>
      <c r="K16" s="1733" t="s">
        <v>1740</v>
      </c>
      <c r="L16" s="2336"/>
      <c r="M16" s="2341"/>
    </row>
    <row r="17" spans="1:33" s="1944" customFormat="1" ht="18" customHeight="1">
      <c r="A17" s="1573" t="s">
        <v>1877</v>
      </c>
      <c r="B17" s="774" t="s">
        <v>647</v>
      </c>
      <c r="C17" s="53" t="e">
        <f ca="1">ROUND(F17*(F43+INDIRECT("'数据-取费表'!S"&amp;$G$1))/10000,0)</f>
        <v>#N/A</v>
      </c>
      <c r="D17" s="774" t="s">
        <v>1741</v>
      </c>
      <c r="E17" s="774" t="s">
        <v>1742</v>
      </c>
      <c r="F17" s="56">
        <f>'数据-取费表'!B35</f>
        <v>200</v>
      </c>
      <c r="G17" s="3258"/>
      <c r="H17" s="1574" t="s">
        <v>1820</v>
      </c>
      <c r="I17" s="774" t="s">
        <v>650</v>
      </c>
      <c r="J17" s="3016" t="e">
        <f ca="1">ROUND(IF(AND(项目基本情况!B11="自然人",项目基本情况!B10="北京市"),J6*M17/(1+'数据-取费表'!C42),J18+J19+J20),0)</f>
        <v>#N/A</v>
      </c>
      <c r="K17" s="2335" t="s">
        <v>1743</v>
      </c>
      <c r="L17" s="233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t="e">
        <f ca="1">ROUND(C14*F18,0)</f>
        <v>#N/A</v>
      </c>
      <c r="D18" s="774" t="s">
        <v>1736</v>
      </c>
      <c r="E18" s="774" t="s">
        <v>1737</v>
      </c>
      <c r="F18" s="799">
        <f>'数据-取费表'!B36</f>
        <v>1.4999999999999999E-2</v>
      </c>
      <c r="G18" s="3258"/>
      <c r="H18" s="1573" t="s">
        <v>1874</v>
      </c>
      <c r="I18" s="774" t="s">
        <v>1745</v>
      </c>
      <c r="J18" s="53" t="e">
        <f ca="1">ROUND(J6*M18/(1+'数据-取费表'!C42),1)</f>
        <v>#N/A</v>
      </c>
      <c r="K18" s="2334" t="s">
        <v>1746</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1820</v>
      </c>
      <c r="B19" s="774" t="s">
        <v>656</v>
      </c>
      <c r="C19" s="53" t="e">
        <f ca="1">SUM(C14:C18)</f>
        <v>#N/A</v>
      </c>
      <c r="D19" s="259" t="s">
        <v>1747</v>
      </c>
      <c r="E19" s="1893"/>
      <c r="F19" s="56"/>
      <c r="G19" s="1942"/>
      <c r="H19" s="1573"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4" customFormat="1" ht="18" customHeight="1">
      <c r="A20" s="1574" t="s">
        <v>1879</v>
      </c>
      <c r="B20" s="774" t="s">
        <v>660</v>
      </c>
      <c r="C20" s="53" t="e">
        <f ca="1">ROUND(C19*F20,0)</f>
        <v>#N/A</v>
      </c>
      <c r="D20" s="801" t="s">
        <v>1749</v>
      </c>
      <c r="E20" s="774" t="s">
        <v>1737</v>
      </c>
      <c r="F20" s="799">
        <f>'数据-取费表'!B37</f>
        <v>0.02</v>
      </c>
      <c r="G20" s="3258"/>
      <c r="H20" s="1576" t="s">
        <v>1870</v>
      </c>
      <c r="I20" s="339" t="s">
        <v>1750</v>
      </c>
      <c r="J20" s="54" t="e">
        <f ca="1">ROUND(M20*M21/10000,0)</f>
        <v>#N/A</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1754</v>
      </c>
      <c r="D21" s="801" t="s">
        <v>2284</v>
      </c>
      <c r="E21" s="774" t="s">
        <v>1755</v>
      </c>
      <c r="F21" s="799">
        <f>'数据-取费表'!B38</f>
        <v>0.02</v>
      </c>
      <c r="G21" s="3258"/>
      <c r="H21" s="2356"/>
      <c r="I21" s="783"/>
      <c r="J21" s="69"/>
      <c r="K21" s="805"/>
      <c r="L21" s="774" t="s">
        <v>1756</v>
      </c>
      <c r="M21" s="775"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1757</v>
      </c>
      <c r="C22" s="53"/>
      <c r="D22" s="2421" t="str">
        <f>IF(F23&lt;=1,"单利计息。","复利计息。")&amp;"建造成本、管理费用、销售费用产生的利息。"</f>
        <v>复利计息。建造成本、管理费用、销售费用产生的利息。</v>
      </c>
      <c r="E22" s="1893"/>
      <c r="F22" s="56"/>
      <c r="G22" s="1942"/>
      <c r="H22" s="1574" t="s">
        <v>1879</v>
      </c>
      <c r="I22" s="774" t="s">
        <v>1758</v>
      </c>
      <c r="J22" s="53" t="e">
        <f ca="1">ROUND(J14*M22,0)</f>
        <v>#N/A</v>
      </c>
      <c r="K22" s="2334" t="s">
        <v>1759</v>
      </c>
      <c r="L22" s="774" t="s">
        <v>1737</v>
      </c>
      <c r="M22" s="806" t="e">
        <f ca="1">INDIRECT("'数据-取费表'!Ak"&amp;$G$1)</f>
        <v>#N/A</v>
      </c>
    </row>
    <row r="23" spans="1:33" s="1944" customFormat="1" ht="18" customHeight="1">
      <c r="A23" s="1573" t="s">
        <v>1821</v>
      </c>
      <c r="B23" s="774" t="s">
        <v>2514</v>
      </c>
      <c r="C23" s="53" t="e">
        <f ca="1">ROUND(IF('数据-取费表'!B22&lt;=1,(C19+C20)*F24*F23/2,(C19+C20)*(POWER((1+F24),F23/2)-1)),0)</f>
        <v>#N/A</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t="e">
        <f ca="1">ROUND(J13*M23,0)</f>
        <v>#N/A</v>
      </c>
      <c r="K23" s="2334" t="s">
        <v>1761</v>
      </c>
      <c r="L23" s="774" t="s">
        <v>1737</v>
      </c>
      <c r="M23" s="807"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t="e">
        <f ca="1">ROUND(J5*M24,0)</f>
        <v>#N/A</v>
      </c>
      <c r="K24" s="2395" t="s">
        <v>1764</v>
      </c>
      <c r="L24" s="2396" t="s">
        <v>1737</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1893"/>
      <c r="F25" s="56"/>
      <c r="G25" s="1942"/>
      <c r="H25" s="1741" t="s">
        <v>1766</v>
      </c>
      <c r="I25" s="2720" t="s">
        <v>2798</v>
      </c>
      <c r="J25" s="782" t="e">
        <f ca="1">J5-J16</f>
        <v>#N/A</v>
      </c>
      <c r="K25" s="2398" t="s">
        <v>1767</v>
      </c>
      <c r="L25" s="2399"/>
      <c r="M25" s="2400"/>
    </row>
    <row r="26" spans="1:33" ht="18" customHeight="1">
      <c r="A26" s="1573" t="s">
        <v>1821</v>
      </c>
      <c r="B26" s="774" t="s">
        <v>2420</v>
      </c>
      <c r="C26" s="53" t="e">
        <f ca="1">ROUND((C19+C20)*F26,0)</f>
        <v>#N/A</v>
      </c>
      <c r="D26" s="801" t="s">
        <v>1768</v>
      </c>
      <c r="E26" s="785" t="s">
        <v>1769</v>
      </c>
      <c r="F26" s="784" t="e">
        <f ca="1">INDIRECT("'数据-取费表'!q"&amp;$G$1)</f>
        <v>#N/A</v>
      </c>
      <c r="G26" s="1942"/>
      <c r="H26" s="2352" t="s">
        <v>1770</v>
      </c>
      <c r="I26" s="2109" t="s">
        <v>2803</v>
      </c>
      <c r="J26" s="773" t="e">
        <f ca="1">IF(J5&lt;&gt;0,ROUND(J25*(1-((1+M28)/(1+M26))^M27)/(M26-M28),0),0)</f>
        <v>#N/A</v>
      </c>
      <c r="K26" s="803" t="s">
        <v>1771</v>
      </c>
      <c r="L26" s="774" t="s">
        <v>2402</v>
      </c>
      <c r="M26" s="784" t="e">
        <f ca="1">INDIRECT("'数据-取费表'!I"&amp;$G$1)</f>
        <v>#N/A</v>
      </c>
    </row>
    <row r="27" spans="1:33" ht="18" customHeight="1">
      <c r="A27" s="1573" t="s">
        <v>1822</v>
      </c>
      <c r="B27" s="774" t="s">
        <v>680</v>
      </c>
      <c r="C27" s="53" t="e">
        <f ca="1">ROUND(F21*F26,4)</f>
        <v>#N/A</v>
      </c>
      <c r="D27" s="801" t="s">
        <v>1772</v>
      </c>
      <c r="E27" s="796"/>
      <c r="F27" s="797"/>
      <c r="G27" s="1942"/>
      <c r="H27" s="2353"/>
      <c r="I27" s="777"/>
      <c r="J27" s="778"/>
      <c r="K27" s="810" t="s">
        <v>1773</v>
      </c>
      <c r="L27" s="774" t="s">
        <v>1774</v>
      </c>
      <c r="M27" s="811" t="e">
        <f ca="1">INDIRECT("'数据-取费表'!ag"&amp;$G$1)</f>
        <v>#N/A</v>
      </c>
    </row>
    <row r="28" spans="1:33" s="1944" customFormat="1" ht="18" customHeight="1">
      <c r="A28" s="1575" t="s">
        <v>1831</v>
      </c>
      <c r="B28" s="774" t="s">
        <v>681</v>
      </c>
      <c r="C28" s="53">
        <f>ROUND(F28/(1+'数据-取费表'!C42),4)</f>
        <v>5.33E-2</v>
      </c>
      <c r="D28" s="801" t="s">
        <v>2285</v>
      </c>
      <c r="E28" s="774" t="s">
        <v>1775</v>
      </c>
      <c r="F28" s="799">
        <f>'数据-取费表'!B41</f>
        <v>5.6000000000000001E-2</v>
      </c>
      <c r="G28" s="3258"/>
      <c r="H28" s="1741"/>
      <c r="I28" s="781"/>
      <c r="J28" s="782"/>
      <c r="K28" s="805"/>
      <c r="L28" s="774" t="s">
        <v>1776</v>
      </c>
      <c r="M28" s="784"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t="e">
        <f ca="1">ROUND((C19+C20+C23+C26)/(1-F21-C24-C27-C28),0)</f>
        <v>#N/A</v>
      </c>
      <c r="D29" s="2395"/>
      <c r="E29" s="2396"/>
      <c r="F29" s="2397"/>
      <c r="G29" s="3258"/>
      <c r="H29" s="812" t="s">
        <v>1777</v>
      </c>
      <c r="I29" s="813" t="s">
        <v>1778</v>
      </c>
      <c r="J29" s="814" t="e">
        <f ca="1">ROUND(J26/(1+F40)^F41,0)</f>
        <v>#N/A</v>
      </c>
      <c r="K29" s="815" t="s">
        <v>1779</v>
      </c>
      <c r="L29" s="816"/>
      <c r="M29" s="817"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2" t="e">
        <f ca="1">ROUND(C31+C36+C37+C38,0)</f>
        <v>#N/A</v>
      </c>
      <c r="D30" s="1733" t="s">
        <v>1781</v>
      </c>
      <c r="E30" s="2336"/>
      <c r="F30" s="2341"/>
      <c r="G30" s="1942"/>
      <c r="H30" s="1945"/>
      <c r="I30" s="1946"/>
      <c r="J30" s="1947"/>
      <c r="K30" s="1948"/>
      <c r="L30" s="1949"/>
      <c r="M30" s="1950"/>
    </row>
    <row r="31" spans="1:33" ht="18" customHeight="1">
      <c r="A31" s="1574" t="s">
        <v>1820</v>
      </c>
      <c r="B31" s="774" t="s">
        <v>650</v>
      </c>
      <c r="C31" s="3016" t="e">
        <f ca="1">ROUND(IF(AND(项目基本情况!B11="自然人",项目基本情况!B10="北京市"),C6*F31/(1+'数据-取费表'!C42),C32+C33+C34),0)</f>
        <v>#N/A</v>
      </c>
      <c r="D31" s="1890" t="s">
        <v>1782</v>
      </c>
      <c r="E31" s="1888" t="s">
        <v>1783</v>
      </c>
      <c r="F31" s="3015" t="str">
        <f>IF(项目基本情况!B11="企业","——",IF('数据-取费表'!B10="住宅",IF(F6*F7*F8/12/(1+'数据-取费表'!F30)&gt;100000,4%,2.5%),IF(F6*F7*F8/12/(1+'数据-取费表'!F30)&gt;100000,12%,7%)))</f>
        <v>——</v>
      </c>
      <c r="G31" s="1942"/>
      <c r="H31" s="3255" t="s">
        <v>2989</v>
      </c>
      <c r="I31" s="1946"/>
      <c r="J31" s="1947"/>
      <c r="K31" s="1948"/>
      <c r="L31" s="1949"/>
      <c r="M31" s="1950"/>
    </row>
    <row r="32" spans="1:33" ht="18" customHeight="1">
      <c r="A32" s="1573" t="s">
        <v>1821</v>
      </c>
      <c r="B32" s="774" t="s">
        <v>1784</v>
      </c>
      <c r="C32" s="53" t="e">
        <f ca="1">ROUND(C6*F32/(1+'数据-取费表'!C42),1)</f>
        <v>#N/A</v>
      </c>
      <c r="D32" s="1888" t="s">
        <v>1785</v>
      </c>
      <c r="E32" s="774" t="s">
        <v>1786</v>
      </c>
      <c r="F32" s="799">
        <f>'数据-取费表'!B41</f>
        <v>5.6000000000000001E-2</v>
      </c>
      <c r="G32" s="1942"/>
      <c r="H32" s="1951"/>
      <c r="I32" s="1952"/>
      <c r="J32" s="1953"/>
      <c r="K32" s="1954"/>
      <c r="L32" s="1955"/>
      <c r="M32" s="1956"/>
    </row>
    <row r="33" spans="1:18" ht="18" customHeight="1">
      <c r="A33" s="1573" t="s">
        <v>1822</v>
      </c>
      <c r="B33" s="774" t="s">
        <v>1787</v>
      </c>
      <c r="C33" s="53" t="e">
        <f ca="1">IF(D33="按租金收入计税",ROUND(C6*F33/(1+'数据-取费表'!C42),1),IF(D33="按房产原值计税",ROUND(C29*F33*0.7,1),INDIRECT("'数据-取费表'!Aj"&amp;$G$1)))</f>
        <v>#N/A</v>
      </c>
      <c r="D33" s="800" t="s">
        <v>3434</v>
      </c>
      <c r="E33" s="774" t="s">
        <v>1786</v>
      </c>
      <c r="F33" s="799">
        <f>IF(D33="按租金收入计税",'数据-取费表'!B51,'数据-取费表'!B50)</f>
        <v>0.12</v>
      </c>
      <c r="G33" s="1942"/>
      <c r="H33" s="1957"/>
      <c r="I33" s="1957"/>
      <c r="J33" s="1957"/>
      <c r="K33" s="1958"/>
      <c r="L33" s="1957"/>
      <c r="M33" s="1957"/>
    </row>
    <row r="34" spans="1:18" ht="18" customHeight="1">
      <c r="A34" s="1576" t="s">
        <v>1823</v>
      </c>
      <c r="B34" s="339" t="s">
        <v>1788</v>
      </c>
      <c r="C34" s="54" t="e">
        <f ca="1">ROUND(F34*F35/10000,1)</f>
        <v>#N/A</v>
      </c>
      <c r="D34" s="803" t="s">
        <v>1789</v>
      </c>
      <c r="E34" s="774" t="s">
        <v>1790</v>
      </c>
      <c r="F34" s="632">
        <f>'数据-取费表'!B52</f>
        <v>6</v>
      </c>
      <c r="G34" s="1942"/>
      <c r="H34" s="1945"/>
      <c r="I34" s="824" t="s">
        <v>1803</v>
      </c>
      <c r="J34" s="825"/>
      <c r="K34" s="1960"/>
      <c r="L34" s="1959"/>
      <c r="M34" s="1959"/>
    </row>
    <row r="35" spans="1:18" ht="18" customHeight="1">
      <c r="A35" s="804"/>
      <c r="B35" s="783"/>
      <c r="C35" s="69"/>
      <c r="D35" s="805"/>
      <c r="E35" s="774" t="s">
        <v>1791</v>
      </c>
      <c r="F35" s="775" t="e">
        <f ca="1">INDIRECT("'数据-取费表'!r"&amp;$G$1)</f>
        <v>#N/A</v>
      </c>
      <c r="G35" s="1942"/>
      <c r="H35" s="1945"/>
      <c r="I35" s="826" t="s">
        <v>1804</v>
      </c>
      <c r="J35" s="827" t="e">
        <f ca="1">ROUND(C13*J36,0)</f>
        <v>#N/A</v>
      </c>
      <c r="K35" s="1958"/>
      <c r="L35" s="1957"/>
      <c r="M35" s="1957"/>
    </row>
    <row r="36" spans="1:18" ht="18" customHeight="1">
      <c r="A36" s="1574" t="s">
        <v>1879</v>
      </c>
      <c r="B36" s="774" t="s">
        <v>1792</v>
      </c>
      <c r="C36" s="53" t="e">
        <f ca="1">ROUND(C29*F36,1)</f>
        <v>#N/A</v>
      </c>
      <c r="D36" s="1888" t="s">
        <v>1793</v>
      </c>
      <c r="E36" s="774" t="s">
        <v>1786</v>
      </c>
      <c r="F36" s="806" t="e">
        <f ca="1">INDIRECT("'数据-取费表'!Ak"&amp;$G$1)</f>
        <v>#N/A</v>
      </c>
      <c r="G36" s="1942"/>
      <c r="H36" s="1957"/>
      <c r="I36" s="828" t="s">
        <v>1805</v>
      </c>
      <c r="J36" s="829" t="e">
        <f ca="1">INDIRECT("'数据-取费表'!j"&amp;$G$1)</f>
        <v>#N/A</v>
      </c>
      <c r="K36" s="1961"/>
      <c r="L36" s="1957"/>
      <c r="M36" s="1957"/>
    </row>
    <row r="37" spans="1:18" ht="18" customHeight="1">
      <c r="A37" s="1574" t="s">
        <v>1880</v>
      </c>
      <c r="B37" s="774" t="s">
        <v>673</v>
      </c>
      <c r="C37" s="53" t="e">
        <f ca="1">ROUND(C13*F37,1)</f>
        <v>#N/A</v>
      </c>
      <c r="D37" s="1888" t="s">
        <v>1794</v>
      </c>
      <c r="E37" s="774" t="s">
        <v>1786</v>
      </c>
      <c r="F37" s="807" t="e">
        <f ca="1">INDIRECT("'数据-取费表'!Al"&amp;$G$1)</f>
        <v>#N/A</v>
      </c>
      <c r="G37" s="1942"/>
      <c r="H37" s="1957"/>
      <c r="I37" s="830" t="s">
        <v>1806</v>
      </c>
      <c r="J37" s="831"/>
      <c r="K37" s="1961"/>
      <c r="L37" s="1957"/>
      <c r="M37" s="1957"/>
    </row>
    <row r="38" spans="1:18" ht="18" customHeight="1" thickBot="1">
      <c r="A38" s="2401" t="s">
        <v>1881</v>
      </c>
      <c r="B38" s="2396" t="s">
        <v>660</v>
      </c>
      <c r="C38" s="2394" t="e">
        <f ca="1">ROUND(C5*F38,1)</f>
        <v>#N/A</v>
      </c>
      <c r="D38" s="2395" t="s">
        <v>1795</v>
      </c>
      <c r="E38" s="2396" t="s">
        <v>1786</v>
      </c>
      <c r="F38" s="2392" t="e">
        <f ca="1">INDIRECT("'数据-取费表'!Am"&amp;$G$1)</f>
        <v>#N/A</v>
      </c>
      <c r="G38" s="1942"/>
      <c r="H38" s="1957"/>
      <c r="I38" s="832" t="s">
        <v>1807</v>
      </c>
      <c r="J38" s="833"/>
      <c r="K38" s="1962"/>
      <c r="L38" s="1957"/>
      <c r="M38" s="1957"/>
    </row>
    <row r="39" spans="1:18" ht="24.6" customHeight="1" thickTop="1">
      <c r="A39" s="1741" t="s">
        <v>1884</v>
      </c>
      <c r="B39" s="2720" t="s">
        <v>2798</v>
      </c>
      <c r="C39" s="782" t="e">
        <f ca="1">C5-C30</f>
        <v>#N/A</v>
      </c>
      <c r="D39" s="2398" t="s">
        <v>1796</v>
      </c>
      <c r="E39" s="2399"/>
      <c r="F39" s="2400"/>
      <c r="G39" s="1942"/>
      <c r="H39" s="1957"/>
      <c r="I39" s="826" t="s">
        <v>1808</v>
      </c>
      <c r="J39" s="834" t="e">
        <f ca="1">ROUND(J35/C39,3)</f>
        <v>#N/A</v>
      </c>
      <c r="K39" s="1962"/>
      <c r="L39" s="1957"/>
      <c r="M39" s="1957"/>
    </row>
    <row r="40" spans="1:18" ht="18" customHeight="1">
      <c r="A40" s="771" t="s">
        <v>1885</v>
      </c>
      <c r="B40" s="2109" t="s">
        <v>2287</v>
      </c>
      <c r="C40" s="773" t="e">
        <f ca="1">ROUND(C39*(1-((1+F42)/(1+F40))^F41)/(F40-F42),0)</f>
        <v>#N/A</v>
      </c>
      <c r="D40" s="803" t="s">
        <v>1797</v>
      </c>
      <c r="E40" s="774" t="s">
        <v>2402</v>
      </c>
      <c r="F40" s="784" t="e">
        <f ca="1">INDIRECT("'数据-取费表'!I"&amp;$G$1)</f>
        <v>#N/A</v>
      </c>
      <c r="G40" s="1942"/>
      <c r="H40" s="1942"/>
      <c r="I40" s="826" t="s">
        <v>1809</v>
      </c>
      <c r="J40" s="834" t="e">
        <f ca="1">1-J39</f>
        <v>#N/A</v>
      </c>
      <c r="K40" s="1962"/>
      <c r="L40" s="1942"/>
      <c r="M40" s="1942"/>
    </row>
    <row r="41" spans="1:18" ht="18" customHeight="1">
      <c r="A41" s="776"/>
      <c r="B41" s="777"/>
      <c r="C41" s="778"/>
      <c r="D41" s="810" t="s">
        <v>1798</v>
      </c>
      <c r="E41" s="774" t="s">
        <v>2922</v>
      </c>
      <c r="F41" s="811" t="e">
        <f ca="1">IF(INDIRECT("'数据-取费表'!af"&amp;$G$1)=0,INDIRECT("'数据-取费表'!ae"&amp;$G$1),INDIRECT("'数据-取费表'!af"&amp;$G$1))</f>
        <v>#N/A</v>
      </c>
      <c r="G41" s="1942"/>
      <c r="H41" s="1897"/>
      <c r="I41" s="832" t="s">
        <v>1810</v>
      </c>
      <c r="J41" s="835"/>
      <c r="K41" s="1961"/>
      <c r="L41" s="1897"/>
      <c r="M41" s="1897"/>
    </row>
    <row r="42" spans="1:18" ht="18" customHeight="1">
      <c r="A42" s="780"/>
      <c r="B42" s="781"/>
      <c r="C42" s="782"/>
      <c r="D42" s="805"/>
      <c r="E42" s="774" t="s">
        <v>1799</v>
      </c>
      <c r="F42" s="784" t="e">
        <f ca="1">INDIRECT("'数据-取费表'!v"&amp;$G$1)</f>
        <v>#N/A</v>
      </c>
      <c r="G42" s="1942"/>
      <c r="H42" s="1897"/>
      <c r="I42" s="836" t="s">
        <v>1811</v>
      </c>
      <c r="J42" s="834" t="e">
        <f ca="1">ROUND(C13/C40,3)</f>
        <v>#N/A</v>
      </c>
      <c r="K42" s="1961"/>
      <c r="L42" s="1897"/>
      <c r="M42" s="1897"/>
    </row>
    <row r="43" spans="1:18" ht="18" customHeight="1" thickBot="1">
      <c r="A43" s="812" t="s">
        <v>1777</v>
      </c>
      <c r="B43" s="813" t="s">
        <v>1800</v>
      </c>
      <c r="C43" s="814" t="e">
        <f ca="1">ROUND(C40*10000/F43,0)</f>
        <v>#N/A</v>
      </c>
      <c r="D43" s="815" t="s">
        <v>1801</v>
      </c>
      <c r="E43" s="816" t="s">
        <v>1802</v>
      </c>
      <c r="F43" s="817" t="e">
        <f ca="1">INDIRECT("'数据-取费表'!k"&amp;$G$1)</f>
        <v>#N/A</v>
      </c>
      <c r="G43" s="1942"/>
      <c r="H43" s="1897"/>
      <c r="I43" s="836" t="s">
        <v>1812</v>
      </c>
      <c r="J43" s="837"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t="e">
        <f ca="1">C67-C40</f>
        <v>#N/A</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t="e">
        <f ca="1">C48+C52+C54</f>
        <v>#N/A</v>
      </c>
      <c r="D47" s="3259"/>
      <c r="E47" s="3259"/>
      <c r="F47" s="3259"/>
      <c r="I47" s="2799" t="s">
        <v>2327</v>
      </c>
      <c r="J47" s="2233" t="s">
        <v>3077</v>
      </c>
      <c r="K47" s="2805" t="s">
        <v>2332</v>
      </c>
      <c r="L47" s="2809" t="e">
        <f ca="1">INDIRECT("'数据-取费表'!d"&amp;$G$1)</f>
        <v>#N/A</v>
      </c>
      <c r="M47" s="1531"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t="e">
        <f ca="1">ROUND(F48*F50*F49*(1-F51)/10000,0)</f>
        <v>#N/A</v>
      </c>
      <c r="D48" s="2227" t="s">
        <v>630</v>
      </c>
      <c r="E48" s="2228" t="s">
        <v>2282</v>
      </c>
      <c r="F48" s="2229"/>
      <c r="G48" s="1969"/>
      <c r="I48" s="2796" t="s">
        <v>2328</v>
      </c>
      <c r="J48" s="2234" t="s">
        <v>2333</v>
      </c>
      <c r="K48" s="2806" t="s">
        <v>2334</v>
      </c>
      <c r="L48" s="1819" t="e">
        <f ca="1">INDIRECT("'数据-取费表'!f"&amp;$G$1)</f>
        <v>#N/A</v>
      </c>
      <c r="M48" s="3260"/>
      <c r="O48" s="2250" t="s">
        <v>2362</v>
      </c>
      <c r="P48" s="2251" t="s">
        <v>2388</v>
      </c>
      <c r="Q48" s="2252" t="e">
        <f ca="1">C40+J29</f>
        <v>#N/A</v>
      </c>
      <c r="R48" s="2251" t="s">
        <v>2363</v>
      </c>
    </row>
    <row r="49" spans="1:18" s="1939" customFormat="1" ht="18" customHeight="1" thickBot="1">
      <c r="A49" s="776"/>
      <c r="B49" s="777"/>
      <c r="C49" s="778"/>
      <c r="D49" s="779"/>
      <c r="E49" s="774" t="s">
        <v>1729</v>
      </c>
      <c r="F49" s="775" t="e">
        <f ca="1">F7</f>
        <v>#N/A</v>
      </c>
      <c r="G49" s="1969"/>
      <c r="H49" s="1972"/>
      <c r="I49" s="2796" t="s">
        <v>2329</v>
      </c>
      <c r="J49" s="2235"/>
      <c r="K49" s="2807" t="s">
        <v>2335</v>
      </c>
      <c r="L49" s="2236"/>
      <c r="M49" s="3260"/>
      <c r="O49" s="2250" t="s">
        <v>2364</v>
      </c>
      <c r="P49" s="2251" t="s">
        <v>2389</v>
      </c>
      <c r="Q49" s="2252" t="e">
        <f ca="1">J60</f>
        <v>#N/A</v>
      </c>
      <c r="R49" s="2251" t="s">
        <v>2365</v>
      </c>
    </row>
    <row r="50" spans="1:18" s="1939" customFormat="1" ht="18" customHeight="1" thickBot="1">
      <c r="A50" s="776"/>
      <c r="B50" s="777"/>
      <c r="C50" s="778"/>
      <c r="D50" s="779"/>
      <c r="E50" s="774" t="s">
        <v>1730</v>
      </c>
      <c r="F50" s="775" t="e">
        <f ca="1">F8</f>
        <v>#N/A</v>
      </c>
      <c r="G50" s="1974"/>
      <c r="H50" s="1972"/>
      <c r="I50" s="2796" t="s">
        <v>2330</v>
      </c>
      <c r="J50" s="2803">
        <f>SUMPRODUCT((I63:I65=J47)*(J62:L62=J48)*(J63:L65))</f>
        <v>60</v>
      </c>
      <c r="K50" s="2807" t="s">
        <v>2336</v>
      </c>
      <c r="L50" s="2236"/>
      <c r="M50" s="3260"/>
      <c r="O50" s="2253" t="s">
        <v>2366</v>
      </c>
      <c r="P50" s="2251" t="s">
        <v>2390</v>
      </c>
      <c r="Q50" s="2252" t="e">
        <f ca="1">C29</f>
        <v>#N/A</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t="e">
        <f ca="1">ROUND(-PV(INDIRECT("'数据-取费表'!h"&amp;$G$1),J51,(C39-C13*J36),0),0)</f>
        <v>#N/A</v>
      </c>
      <c r="M51" s="3260"/>
      <c r="O51" s="2253" t="s">
        <v>2367</v>
      </c>
      <c r="P51" s="2251" t="s">
        <v>2368</v>
      </c>
      <c r="Q51" s="2254" t="e">
        <f ca="1">J58</f>
        <v>#N/A</v>
      </c>
      <c r="R51" s="2255"/>
    </row>
    <row r="52" spans="1:18" s="1939" customFormat="1" ht="18" customHeight="1" thickBot="1">
      <c r="A52" s="771" t="s">
        <v>2515</v>
      </c>
      <c r="B52" s="2344" t="s">
        <v>2438</v>
      </c>
      <c r="C52" s="789">
        <f ca="1">ROUND(IF(F52="押一",C48/12*F11,IF(F52="押二",C48/12*2*F11,IF(F52="押三",C48/12*3*F11,C53*F11))),0)</f>
        <v>0</v>
      </c>
      <c r="D52" s="2351" t="s">
        <v>2932</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t="e">
        <f ca="1">IF(M47="住宅",IF(D1="——",MAX(J51,L48),MAX(J51,L48-'数据-取费表'!B20)),IF(D1="——",MIN(J51,L48),MIN(J51,L48-'数据-取费表'!B20)))</f>
        <v>#N/A</v>
      </c>
      <c r="K53" s="3763" t="s">
        <v>2924</v>
      </c>
      <c r="L53" s="3764"/>
      <c r="M53" s="3260"/>
      <c r="O53" s="2253" t="s">
        <v>2371</v>
      </c>
      <c r="P53" s="2251" t="s">
        <v>2372</v>
      </c>
      <c r="Q53" s="2252" t="e">
        <f ca="1">J53</f>
        <v>#N/A</v>
      </c>
      <c r="R53" s="2251" t="s">
        <v>2373</v>
      </c>
    </row>
    <row r="54" spans="1:18" s="1939" customFormat="1" ht="18" customHeight="1" thickBot="1">
      <c r="A54" s="2387" t="s">
        <v>2446</v>
      </c>
      <c r="B54" s="2388" t="s">
        <v>2439</v>
      </c>
      <c r="C54" s="2389"/>
      <c r="D54" s="2351"/>
      <c r="E54" s="2348"/>
      <c r="F54" s="790"/>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2374</v>
      </c>
      <c r="P54" s="2251" t="s">
        <v>2391</v>
      </c>
      <c r="Q54" s="2252" t="e">
        <f ca="1">Q48+Q49</f>
        <v>#N/A</v>
      </c>
      <c r="R54" s="2255" t="s">
        <v>2375</v>
      </c>
    </row>
    <row r="55" spans="1:18" s="1939" customFormat="1" ht="18" customHeight="1" thickTop="1" thickBot="1">
      <c r="A55" s="787">
        <v>2</v>
      </c>
      <c r="B55" s="788" t="s">
        <v>638</v>
      </c>
      <c r="C55" s="789" t="e">
        <f ca="1">C13</f>
        <v>#N/A</v>
      </c>
      <c r="D55" s="785"/>
      <c r="E55" s="785"/>
      <c r="F55" s="790"/>
      <c r="I55" s="2813" t="s">
        <v>2338</v>
      </c>
      <c r="J55" s="2785" t="e">
        <f ca="1">ROUND(IF(J47="钢混",J57/J50,1-(1-2%)*(J50-J57)/J50),3)</f>
        <v>#N/A</v>
      </c>
      <c r="K55" s="2814" t="s">
        <v>2339</v>
      </c>
      <c r="L55" s="2238"/>
      <c r="M55" s="3260"/>
      <c r="O55" s="2256" t="s">
        <v>2394</v>
      </c>
      <c r="P55" s="1523"/>
      <c r="Q55" s="1531"/>
      <c r="R55" s="1523"/>
    </row>
    <row r="56" spans="1:18" s="1939" customFormat="1" ht="42.75" customHeight="1" thickBot="1">
      <c r="A56" s="1575"/>
      <c r="B56" s="2108" t="s">
        <v>2288</v>
      </c>
      <c r="C56" s="53" t="e">
        <f ca="1">C29</f>
        <v>#N/A</v>
      </c>
      <c r="D56" s="2478"/>
      <c r="E56" s="774"/>
      <c r="F56" s="799"/>
      <c r="I56" s="2815" t="s">
        <v>2340</v>
      </c>
      <c r="J56" s="2825" t="s">
        <v>1668</v>
      </c>
      <c r="K56" s="2796" t="s">
        <v>2345</v>
      </c>
      <c r="L56" s="1819" t="e">
        <f ca="1">IF(L48&lt;J51,"——",L48-J51)</f>
        <v>#N/A</v>
      </c>
      <c r="M56" s="3260"/>
      <c r="O56" s="2247" t="s">
        <v>2358</v>
      </c>
      <c r="P56" s="2248" t="s">
        <v>2359</v>
      </c>
      <c r="Q56" s="2249" t="s">
        <v>2360</v>
      </c>
      <c r="R56" s="2248" t="s">
        <v>2361</v>
      </c>
    </row>
    <row r="57" spans="1:18" s="1939" customFormat="1" ht="28.5" customHeight="1" thickBot="1">
      <c r="A57" s="787" t="s">
        <v>1738</v>
      </c>
      <c r="B57" s="788" t="s">
        <v>645</v>
      </c>
      <c r="C57" s="789" t="e">
        <f ca="1">ROUND(C58+C63+C64+C65,0)</f>
        <v>#N/A</v>
      </c>
      <c r="D57" s="26" t="s">
        <v>1740</v>
      </c>
      <c r="E57" s="2479"/>
      <c r="F57" s="56"/>
      <c r="I57" s="2816" t="s">
        <v>2341</v>
      </c>
      <c r="J57" s="2817" t="e">
        <f ca="1">IF(OR(M47="住宅",J51&lt;L48,J56="是"),"——",J51-L48)</f>
        <v>#N/A</v>
      </c>
      <c r="K57" s="2796" t="s">
        <v>2346</v>
      </c>
      <c r="L57" s="1819" t="e">
        <f ca="1">IF(L48&lt;J51,"——",IF(L55="比较法",L49,IF(L55="基准地价",L50,L51)))</f>
        <v>#N/A</v>
      </c>
      <c r="M57" s="3260"/>
      <c r="O57" s="2250" t="s">
        <v>2362</v>
      </c>
      <c r="P57" s="2251" t="s">
        <v>2392</v>
      </c>
      <c r="Q57" s="2252" t="e">
        <f ca="1">C40+J29</f>
        <v>#N/A</v>
      </c>
      <c r="R57" s="2251" t="s">
        <v>2363</v>
      </c>
    </row>
    <row r="58" spans="1:18" s="1939" customFormat="1" ht="28.5" customHeight="1" thickBot="1">
      <c r="A58" s="1574" t="s">
        <v>1814</v>
      </c>
      <c r="B58" s="774" t="s">
        <v>650</v>
      </c>
      <c r="C58" s="3016" t="e">
        <f ca="1">ROUND(IF(AND(项目基本情况!B11="自然人",项目基本情况!B10="北京市"),C48*F58/(1+'数据-取费表'!C42),C59+C60+C61),0)</f>
        <v>#N/A</v>
      </c>
      <c r="D58" s="2477" t="s">
        <v>651</v>
      </c>
      <c r="E58" s="2478" t="s">
        <v>684</v>
      </c>
      <c r="F58" s="3015" t="str">
        <f>IF(项目基本情况!B11="企业","——",IF('数据-取费表'!B10="住宅",IF(F48*F49*F50/12/(1+'数据-取费表'!F30)&gt;100000,4%,2.5%),IF(F48*F49*F50/12/(1+'数据-取费表'!F30)&gt;100000,12%,7%)))</f>
        <v>——</v>
      </c>
      <c r="I58" s="2816" t="s">
        <v>2342</v>
      </c>
      <c r="J58" s="2786" t="e">
        <f ca="1">IF(J55&lt;0.4,0.4,J55)</f>
        <v>#N/A</v>
      </c>
      <c r="K58" s="2796" t="s">
        <v>2347</v>
      </c>
      <c r="L58" s="1819" t="e">
        <f ca="1">ROUND(POWER(1+L52,L47-L48)*(POWER(1+L52,L48)-1)/(POWER(1+L52,L47)-1),4)</f>
        <v>#N/A</v>
      </c>
      <c r="M58" s="3260"/>
      <c r="O58" s="2250" t="s">
        <v>2364</v>
      </c>
      <c r="P58" s="2251" t="s">
        <v>2395</v>
      </c>
      <c r="Q58" s="2252" t="e">
        <f ca="1">L60</f>
        <v>#N/A</v>
      </c>
      <c r="R58" s="2255" t="s">
        <v>2397</v>
      </c>
    </row>
    <row r="59" spans="1:18" s="1939" customFormat="1" ht="28.5" customHeight="1" thickBot="1">
      <c r="A59" s="1573" t="s">
        <v>1821</v>
      </c>
      <c r="B59" s="774" t="s">
        <v>654</v>
      </c>
      <c r="C59" s="53" t="e">
        <f ca="1">ROUND(C47*F59/1.05,1)</f>
        <v>#N/A</v>
      </c>
      <c r="D59" s="2478" t="s">
        <v>1746</v>
      </c>
      <c r="E59" s="774" t="s">
        <v>1737</v>
      </c>
      <c r="F59" s="799">
        <f t="shared" ref="F59:F65" si="0">F32</f>
        <v>5.6000000000000001E-2</v>
      </c>
      <c r="I59" s="2816" t="s">
        <v>2343</v>
      </c>
      <c r="J59" s="2817" t="e">
        <f ca="1">IF(OR(M47="住宅",J51&lt;L48,J56="是"),"——",ROUND(C29*J58,0))</f>
        <v>#N/A</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#N/A</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t="e">
        <f ca="1">IF(D60="按租金收入计税",ROUND(C47*F60,1),IF(D60="按房产原值计税",ROUND(C56*F60*0.7,1),INDIRECT("'数据-取费表'!Aj"&amp;$G$1)))</f>
        <v>#N/A</v>
      </c>
      <c r="D60" s="2478" t="str">
        <f>D33</f>
        <v>按租金收入计税</v>
      </c>
      <c r="E60" s="774" t="s">
        <v>1737</v>
      </c>
      <c r="F60" s="799">
        <f t="shared" si="0"/>
        <v>0.12</v>
      </c>
      <c r="I60" s="2818" t="s">
        <v>2344</v>
      </c>
      <c r="J60" s="2819" t="e">
        <f ca="1">IF(OR(M47="住宅",J51&lt;L48,J56="是"),"0",ROUND(J59/(1+J52)^J53,0))</f>
        <v>#N/A</v>
      </c>
      <c r="K60" s="2820" t="s">
        <v>2349</v>
      </c>
      <c r="L60" s="2819" t="e">
        <f ca="1">IF(OR(M47="住宅",L48&lt;J51),0,ROUND(L57*(L58/L59-1),0))</f>
        <v>#N/A</v>
      </c>
      <c r="M60" s="3260"/>
      <c r="O60" s="2253" t="s">
        <v>2367</v>
      </c>
      <c r="P60" s="2251" t="s">
        <v>2376</v>
      </c>
      <c r="Q60" s="2254">
        <f>L52</f>
        <v>0</v>
      </c>
      <c r="R60" s="2255"/>
    </row>
    <row r="61" spans="1:18" s="1939" customFormat="1" ht="18" customHeight="1" thickBot="1">
      <c r="A61" s="1576" t="s">
        <v>1823</v>
      </c>
      <c r="B61" s="339" t="s">
        <v>662</v>
      </c>
      <c r="C61" s="54" t="e">
        <f ca="1">ROUND(F61*F62/10000,1)</f>
        <v>#N/A</v>
      </c>
      <c r="D61" s="803" t="s">
        <v>663</v>
      </c>
      <c r="E61" s="774" t="s">
        <v>664</v>
      </c>
      <c r="F61" s="632">
        <f t="shared" si="0"/>
        <v>6</v>
      </c>
      <c r="K61" s="1965"/>
      <c r="O61" s="2253" t="s">
        <v>2369</v>
      </c>
      <c r="P61" s="2251" t="s">
        <v>2377</v>
      </c>
      <c r="Q61" s="2252" t="e">
        <f ca="1">L58</f>
        <v>#N/A</v>
      </c>
      <c r="R61" s="2255" t="s">
        <v>2378</v>
      </c>
    </row>
    <row r="62" spans="1:18" s="1939" customFormat="1" ht="15.75" thickBot="1">
      <c r="A62" s="804"/>
      <c r="B62" s="783"/>
      <c r="C62" s="69"/>
      <c r="D62" s="805"/>
      <c r="E62" s="774" t="s">
        <v>668</v>
      </c>
      <c r="F62" s="775" t="e">
        <f t="shared" ca="1" si="0"/>
        <v>#N/A</v>
      </c>
      <c r="I62" s="2821" t="s">
        <v>2350</v>
      </c>
      <c r="J62" s="2822" t="s">
        <v>2351</v>
      </c>
      <c r="K62" s="2822" t="s">
        <v>2352</v>
      </c>
      <c r="L62" s="2822" t="s">
        <v>2333</v>
      </c>
      <c r="M62" s="2823" t="s">
        <v>2903</v>
      </c>
      <c r="O62" s="2253" t="s">
        <v>2371</v>
      </c>
      <c r="P62" s="2251" t="str">
        <f>K59</f>
        <v>建设期及建筑物耐用年限下的土地年期修正系数Kn</v>
      </c>
      <c r="Q62" s="2252" t="e">
        <f ca="1">L59</f>
        <v>#N/A</v>
      </c>
      <c r="R62" s="2255" t="s">
        <v>2380</v>
      </c>
    </row>
    <row r="63" spans="1:18" s="1939" customFormat="1" ht="15.75" thickBot="1">
      <c r="A63" s="1574" t="s">
        <v>1879</v>
      </c>
      <c r="B63" s="774" t="s">
        <v>670</v>
      </c>
      <c r="C63" s="53" t="e">
        <f ca="1">ROUND(C56*F63,1)</f>
        <v>#N/A</v>
      </c>
      <c r="D63" s="2478" t="s">
        <v>1793</v>
      </c>
      <c r="E63" s="774" t="s">
        <v>1737</v>
      </c>
      <c r="F63" s="806" t="e">
        <f t="shared" ca="1" si="0"/>
        <v>#N/A</v>
      </c>
      <c r="I63" s="2821" t="s">
        <v>2353</v>
      </c>
      <c r="J63" s="2822">
        <v>70</v>
      </c>
      <c r="K63" s="2822">
        <v>50</v>
      </c>
      <c r="L63" s="2822">
        <v>80</v>
      </c>
      <c r="M63" s="2824">
        <v>0.02</v>
      </c>
      <c r="O63" s="2250" t="s">
        <v>2374</v>
      </c>
      <c r="P63" s="2251" t="s">
        <v>2391</v>
      </c>
      <c r="Q63" s="2252" t="e">
        <f ca="1">Q57+Q58</f>
        <v>#N/A</v>
      </c>
      <c r="R63" s="2255" t="s">
        <v>2375</v>
      </c>
    </row>
    <row r="64" spans="1:18" s="1939" customFormat="1" ht="16.5" thickBot="1">
      <c r="A64" s="1574" t="s">
        <v>1880</v>
      </c>
      <c r="B64" s="774" t="s">
        <v>673</v>
      </c>
      <c r="C64" s="53" t="e">
        <f ca="1">ROUND(C55*F64,1)</f>
        <v>#N/A</v>
      </c>
      <c r="D64" s="2478" t="s">
        <v>674</v>
      </c>
      <c r="E64" s="774" t="s">
        <v>1737</v>
      </c>
      <c r="F64" s="807" t="e">
        <f t="shared" ca="1" si="0"/>
        <v>#N/A</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t="e">
        <f ca="1">ROUND(C47*F65,1)</f>
        <v>#N/A</v>
      </c>
      <c r="D65" s="2478" t="s">
        <v>677</v>
      </c>
      <c r="E65" s="774" t="s">
        <v>1737</v>
      </c>
      <c r="F65" s="784" t="e">
        <f t="shared" ca="1" si="0"/>
        <v>#N/A</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t="e">
        <f ca="1">C47-C57</f>
        <v>#N/A</v>
      </c>
      <c r="D66" s="2477" t="s">
        <v>694</v>
      </c>
      <c r="E66" s="2476"/>
      <c r="F66" s="809"/>
      <c r="K66" s="1965"/>
      <c r="O66" s="2250" t="s">
        <v>2362</v>
      </c>
      <c r="P66" s="2251" t="s">
        <v>2392</v>
      </c>
      <c r="Q66" s="2252" t="e">
        <f ca="1">C40+J29</f>
        <v>#N/A</v>
      </c>
      <c r="R66" s="2251" t="s">
        <v>2363</v>
      </c>
    </row>
    <row r="67" spans="1:18" s="1939" customFormat="1" ht="20.25" thickBot="1">
      <c r="A67" s="771" t="s">
        <v>1770</v>
      </c>
      <c r="B67" s="2109" t="s">
        <v>2287</v>
      </c>
      <c r="C67" s="773" t="e">
        <f ca="1">ROUND(C66*(1-((1+F69)/(1+F67))^F68)/(F67-F69),0)</f>
        <v>#N/A</v>
      </c>
      <c r="D67" s="803" t="s">
        <v>698</v>
      </c>
      <c r="E67" s="774" t="s">
        <v>699</v>
      </c>
      <c r="F67" s="784" t="e">
        <f ca="1">F40</f>
        <v>#N/A</v>
      </c>
      <c r="K67" s="1965"/>
      <c r="O67" s="2250" t="s">
        <v>2364</v>
      </c>
      <c r="P67" s="2251" t="s">
        <v>2395</v>
      </c>
      <c r="Q67" s="2252" t="e">
        <f ca="1">L60</f>
        <v>#N/A</v>
      </c>
      <c r="R67" s="2255" t="s">
        <v>2397</v>
      </c>
    </row>
    <row r="68" spans="1:18" ht="21.75" thickBot="1">
      <c r="A68" s="776"/>
      <c r="B68" s="777"/>
      <c r="C68" s="778"/>
      <c r="D68" s="810" t="s">
        <v>1798</v>
      </c>
      <c r="E68" s="774" t="s">
        <v>1774</v>
      </c>
      <c r="F68" s="811" t="e">
        <f ca="1">F41</f>
        <v>#N/A</v>
      </c>
      <c r="O68" s="2253" t="s">
        <v>2366</v>
      </c>
      <c r="P68" s="2251" t="s">
        <v>2396</v>
      </c>
      <c r="Q68" s="2257" t="e">
        <f ca="1">L51</f>
        <v>#N/A</v>
      </c>
      <c r="R68" s="2258" t="s">
        <v>2399</v>
      </c>
    </row>
    <row r="69" spans="1:18" ht="20.25" thickBot="1">
      <c r="A69" s="780"/>
      <c r="B69" s="781"/>
      <c r="C69" s="782"/>
      <c r="D69" s="805"/>
      <c r="E69" s="774" t="s">
        <v>704</v>
      </c>
      <c r="F69" s="2223"/>
      <c r="O69" s="2253" t="s">
        <v>2367</v>
      </c>
      <c r="P69" s="2259" t="s">
        <v>2381</v>
      </c>
      <c r="Q69" s="2252" t="e">
        <f ca="1">ROUND(Q70-Q71*Q72,0)</f>
        <v>#N/A</v>
      </c>
      <c r="R69" s="2255"/>
    </row>
    <row r="70" spans="1:18" ht="15.75" thickBot="1">
      <c r="A70" s="812" t="s">
        <v>1777</v>
      </c>
      <c r="B70" s="813" t="s">
        <v>1800</v>
      </c>
      <c r="C70" s="814" t="e">
        <f ca="1">ROUND(C67*10000/F70,0)</f>
        <v>#N/A</v>
      </c>
      <c r="D70" s="815" t="s">
        <v>1801</v>
      </c>
      <c r="E70" s="816" t="s">
        <v>1802</v>
      </c>
      <c r="F70" s="817" t="e">
        <f ca="1">F43</f>
        <v>#N/A</v>
      </c>
      <c r="O70" s="2253" t="s">
        <v>2382</v>
      </c>
      <c r="P70" s="2259" t="s">
        <v>2383</v>
      </c>
      <c r="Q70" s="2252" t="e">
        <f ca="1">C39</f>
        <v>#N/A</v>
      </c>
      <c r="R70" s="2251" t="s">
        <v>2363</v>
      </c>
    </row>
    <row r="71" spans="1:18" ht="15.75" thickBot="1">
      <c r="O71" s="2253" t="s">
        <v>2384</v>
      </c>
      <c r="P71" s="2259" t="s">
        <v>2385</v>
      </c>
      <c r="Q71" s="2252" t="e">
        <f ca="1">C13</f>
        <v>#N/A</v>
      </c>
      <c r="R71" s="2251" t="s">
        <v>2363</v>
      </c>
    </row>
    <row r="72" spans="1:18" ht="15.75" thickBot="1">
      <c r="O72" s="2253" t="s">
        <v>2386</v>
      </c>
      <c r="P72" s="2259" t="s">
        <v>2387</v>
      </c>
      <c r="Q72" s="2254" t="e">
        <f ca="1">J36</f>
        <v>#N/A</v>
      </c>
      <c r="R72" s="2255"/>
    </row>
    <row r="73" spans="1:18" ht="15.75" thickBot="1">
      <c r="O73" s="2253" t="s">
        <v>2369</v>
      </c>
      <c r="P73" s="2251" t="s">
        <v>2376</v>
      </c>
      <c r="Q73" s="2254">
        <f>L52</f>
        <v>0</v>
      </c>
      <c r="R73" s="2255"/>
    </row>
    <row r="74" spans="1:18" ht="20.25" thickBot="1">
      <c r="O74" s="2253" t="s">
        <v>2371</v>
      </c>
      <c r="P74" s="2251" t="s">
        <v>2377</v>
      </c>
      <c r="Q74" s="2252" t="e">
        <f ca="1">L58</f>
        <v>#N/A</v>
      </c>
      <c r="R74" s="2255" t="s">
        <v>2378</v>
      </c>
    </row>
    <row r="75" spans="1:18" ht="15.75" thickBot="1">
      <c r="O75" s="2253" t="s">
        <v>2400</v>
      </c>
      <c r="P75" s="2251" t="str">
        <f>K59</f>
        <v>建设期及建筑物耐用年限下的土地年期修正系数Kn</v>
      </c>
      <c r="Q75" s="2252" t="e">
        <f ca="1">L59</f>
        <v>#N/A</v>
      </c>
      <c r="R75" s="2255" t="s">
        <v>2380</v>
      </c>
    </row>
    <row r="76" spans="1:18" ht="15.75" thickBot="1">
      <c r="O76" s="2250" t="s">
        <v>2374</v>
      </c>
      <c r="P76" s="2251" t="s">
        <v>2391</v>
      </c>
      <c r="Q76" s="2252" t="e">
        <f ca="1">Q66+Q67</f>
        <v>#N/A</v>
      </c>
      <c r="R76" s="2255"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0" priority="7">
      <formula>$L$48&gt;$J$51</formula>
    </cfRule>
  </conditionalFormatting>
  <conditionalFormatting sqref="I55">
    <cfRule type="expression" dxfId="69" priority="8">
      <formula>$J$51&gt;$L$48</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dataValidations count="8">
    <dataValidation type="list" allowBlank="1" showInputMessage="1" showErrorMessage="1" sqref="C1:C3" xr:uid="{00000000-0002-0000-2500-000000000000}">
      <formula1>项目类型</formula1>
    </dataValidation>
    <dataValidation type="list" allowBlank="1" showInputMessage="1" showErrorMessage="1" sqref="K19" xr:uid="{00000000-0002-0000-2500-000001000000}">
      <formula1>"按租金收入计税,按房产原值计税"</formula1>
    </dataValidation>
    <dataValidation type="list" allowBlank="1" showInputMessage="1" showErrorMessage="1" sqref="D33" xr:uid="{00000000-0002-0000-2500-000002000000}">
      <formula1>"按租金收入计税,按房产原值计税,按票据"</formula1>
    </dataValidation>
    <dataValidation type="list" allowBlank="1" showInputMessage="1" showErrorMessage="1" sqref="J56" xr:uid="{00000000-0002-0000-2500-000003000000}">
      <formula1>判定</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F10 M10 F52" xr:uid="{00000000-0002-0000-2500-000006000000}">
      <formula1>"押一,押二,押三,自定义"</formula1>
    </dataValidation>
    <dataValidation type="list" allowBlank="1" showInputMessage="1" showErrorMessage="1" sqref="D1" xr:uid="{00000000-0002-0000-2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65" t="s">
        <v>2450</v>
      </c>
      <c r="B1" s="3766"/>
      <c r="C1" s="3767"/>
      <c r="D1" s="3768">
        <f>SUM(I10,I15,I20,I21,I23)</f>
        <v>0</v>
      </c>
      <c r="E1" s="3768"/>
      <c r="F1" s="3768"/>
      <c r="G1" s="3768"/>
      <c r="H1" s="3768"/>
      <c r="I1" s="3769"/>
    </row>
    <row r="2" spans="1:9">
      <c r="A2" s="3770" t="s">
        <v>2451</v>
      </c>
      <c r="B2" s="3771" t="s">
        <v>2452</v>
      </c>
      <c r="C2" s="3771"/>
      <c r="D2" s="2357" t="s">
        <v>2453</v>
      </c>
      <c r="E2" s="2357" t="s">
        <v>2454</v>
      </c>
      <c r="F2" s="2357" t="s">
        <v>2455</v>
      </c>
      <c r="G2" s="2357" t="s">
        <v>2456</v>
      </c>
      <c r="H2" s="2357" t="s">
        <v>2457</v>
      </c>
      <c r="I2" s="2358" t="s">
        <v>2458</v>
      </c>
    </row>
    <row r="3" spans="1:9">
      <c r="A3" s="3770"/>
      <c r="B3" s="3771" t="s">
        <v>2459</v>
      </c>
      <c r="C3" s="3771"/>
      <c r="D3" s="2359"/>
      <c r="E3" s="2357"/>
      <c r="F3" s="2360"/>
      <c r="G3" s="2360"/>
      <c r="H3" s="2361"/>
      <c r="I3" s="2362">
        <f>ROUND(D3*E3*F3*G3*H3/10000,0)</f>
        <v>0</v>
      </c>
    </row>
    <row r="4" spans="1:9">
      <c r="A4" s="3770"/>
      <c r="B4" s="3771" t="s">
        <v>2460</v>
      </c>
      <c r="C4" s="3771"/>
      <c r="D4" s="2359"/>
      <c r="E4" s="2357"/>
      <c r="F4" s="2360"/>
      <c r="G4" s="2360"/>
      <c r="H4" s="2361"/>
      <c r="I4" s="2362">
        <f t="shared" ref="I4:I9" si="0">ROUND(D4*E4*F4*G4*H4/10000,0)</f>
        <v>0</v>
      </c>
    </row>
    <row r="5" spans="1:9">
      <c r="A5" s="3770"/>
      <c r="B5" s="3771" t="s">
        <v>2461</v>
      </c>
      <c r="C5" s="3771"/>
      <c r="D5" s="2359"/>
      <c r="E5" s="2357"/>
      <c r="F5" s="2360"/>
      <c r="G5" s="2360"/>
      <c r="H5" s="2361"/>
      <c r="I5" s="2362">
        <f t="shared" si="0"/>
        <v>0</v>
      </c>
    </row>
    <row r="6" spans="1:9">
      <c r="A6" s="3770"/>
      <c r="B6" s="3771" t="s">
        <v>2462</v>
      </c>
      <c r="C6" s="3771"/>
      <c r="D6" s="2359"/>
      <c r="E6" s="2357"/>
      <c r="F6" s="2360"/>
      <c r="G6" s="2360"/>
      <c r="H6" s="2361"/>
      <c r="I6" s="2362">
        <f t="shared" si="0"/>
        <v>0</v>
      </c>
    </row>
    <row r="7" spans="1:9">
      <c r="A7" s="3770"/>
      <c r="B7" s="3771" t="s">
        <v>2463</v>
      </c>
      <c r="C7" s="3771"/>
      <c r="D7" s="2359"/>
      <c r="E7" s="2357"/>
      <c r="F7" s="2360"/>
      <c r="G7" s="2360"/>
      <c r="H7" s="2361"/>
      <c r="I7" s="2362">
        <f t="shared" si="0"/>
        <v>0</v>
      </c>
    </row>
    <row r="8" spans="1:9">
      <c r="A8" s="3770"/>
      <c r="B8" s="3771" t="s">
        <v>2464</v>
      </c>
      <c r="C8" s="3771"/>
      <c r="D8" s="2359"/>
      <c r="E8" s="2357"/>
      <c r="F8" s="2360"/>
      <c r="G8" s="2360"/>
      <c r="H8" s="2361"/>
      <c r="I8" s="2362">
        <f t="shared" si="0"/>
        <v>0</v>
      </c>
    </row>
    <row r="9" spans="1:9">
      <c r="A9" s="3770"/>
      <c r="B9" s="3771" t="s">
        <v>2465</v>
      </c>
      <c r="C9" s="3771"/>
      <c r="D9" s="2359"/>
      <c r="E9" s="2357"/>
      <c r="F9" s="2360"/>
      <c r="G9" s="2360"/>
      <c r="H9" s="2361"/>
      <c r="I9" s="2362">
        <f t="shared" si="0"/>
        <v>0</v>
      </c>
    </row>
    <row r="10" spans="1:9">
      <c r="A10" s="3770"/>
      <c r="B10" s="3772" t="s">
        <v>2466</v>
      </c>
      <c r="C10" s="3772"/>
      <c r="D10" s="2363">
        <v>527</v>
      </c>
      <c r="E10" s="2363" t="e">
        <f>ROUND(D1*10000/D10/H9,0)</f>
        <v>#DIV/0!</v>
      </c>
      <c r="F10" s="2364"/>
      <c r="G10" s="2364"/>
      <c r="H10" s="2365"/>
      <c r="I10" s="2366">
        <f>SUM(I3:I9)</f>
        <v>0</v>
      </c>
    </row>
    <row r="11" spans="1:9" ht="14.25">
      <c r="A11" s="3770" t="s">
        <v>2467</v>
      </c>
      <c r="B11" s="3771" t="s">
        <v>2468</v>
      </c>
      <c r="C11" s="3771"/>
      <c r="D11" s="2359" t="s">
        <v>2469</v>
      </c>
      <c r="E11" s="2359" t="s">
        <v>2470</v>
      </c>
      <c r="F11" s="2360" t="s">
        <v>2471</v>
      </c>
      <c r="G11" s="2360" t="s">
        <v>2472</v>
      </c>
      <c r="H11" s="2367" t="s">
        <v>2473</v>
      </c>
      <c r="I11" s="2358" t="s">
        <v>2474</v>
      </c>
    </row>
    <row r="12" spans="1:9">
      <c r="A12" s="3770"/>
      <c r="B12" s="3771" t="s">
        <v>2475</v>
      </c>
      <c r="C12" s="3771"/>
      <c r="D12" s="2359"/>
      <c r="E12" s="2359"/>
      <c r="F12" s="2360"/>
      <c r="G12" s="2361"/>
      <c r="H12" s="2368"/>
      <c r="I12" s="2358">
        <f>ROUND(D12*E12*F12*G12/10000,0)</f>
        <v>0</v>
      </c>
    </row>
    <row r="13" spans="1:9">
      <c r="A13" s="3770"/>
      <c r="B13" s="3771" t="s">
        <v>2476</v>
      </c>
      <c r="C13" s="3771"/>
      <c r="D13" s="2359"/>
      <c r="E13" s="2359"/>
      <c r="F13" s="2360"/>
      <c r="G13" s="2361"/>
      <c r="H13" s="2368"/>
      <c r="I13" s="2358">
        <f>ROUND(D13*E13*F13*G13/10000,0)</f>
        <v>0</v>
      </c>
    </row>
    <row r="14" spans="1:9">
      <c r="A14" s="3770"/>
      <c r="B14" s="3771" t="s">
        <v>2477</v>
      </c>
      <c r="C14" s="3771"/>
      <c r="D14" s="2359"/>
      <c r="E14" s="2359"/>
      <c r="F14" s="2360"/>
      <c r="G14" s="2361"/>
      <c r="H14" s="2368"/>
      <c r="I14" s="2358">
        <f>ROUND(D14*E14*F14*G14/10000,0)</f>
        <v>0</v>
      </c>
    </row>
    <row r="15" spans="1:9">
      <c r="A15" s="3770"/>
      <c r="B15" s="3772" t="s">
        <v>2466</v>
      </c>
      <c r="C15" s="3772"/>
      <c r="D15" s="2363"/>
      <c r="E15" s="2363">
        <f>SUM(E12:E14)</f>
        <v>0</v>
      </c>
      <c r="F15" s="2364"/>
      <c r="G15" s="2361"/>
      <c r="H15" s="2368"/>
      <c r="I15" s="2369">
        <f>SUM(I12:I14)</f>
        <v>0</v>
      </c>
    </row>
    <row r="16" spans="1:9" ht="24">
      <c r="A16" s="3770" t="s">
        <v>2478</v>
      </c>
      <c r="B16" s="3771" t="s">
        <v>2479</v>
      </c>
      <c r="C16" s="3771"/>
      <c r="D16" s="2359" t="s">
        <v>2480</v>
      </c>
      <c r="E16" s="2370" t="s">
        <v>2481</v>
      </c>
      <c r="F16" s="2360" t="s">
        <v>2482</v>
      </c>
      <c r="G16" s="2361" t="s">
        <v>2472</v>
      </c>
      <c r="H16" s="2367" t="s">
        <v>2473</v>
      </c>
      <c r="I16" s="2358" t="s">
        <v>2474</v>
      </c>
    </row>
    <row r="17" spans="1:9" ht="14.25">
      <c r="A17" s="3770"/>
      <c r="B17" s="3771" t="s">
        <v>2483</v>
      </c>
      <c r="C17" s="3771"/>
      <c r="D17" s="2359"/>
      <c r="E17" s="2359"/>
      <c r="F17" s="2360"/>
      <c r="G17" s="2361"/>
      <c r="H17" s="2371"/>
      <c r="I17" s="2372">
        <f>ROUND(D17*E17*F17*G17/10000,0)</f>
        <v>0</v>
      </c>
    </row>
    <row r="18" spans="1:9" ht="14.25">
      <c r="A18" s="3770"/>
      <c r="B18" s="3771" t="s">
        <v>2484</v>
      </c>
      <c r="C18" s="3771"/>
      <c r="D18" s="2359"/>
      <c r="E18" s="2359"/>
      <c r="F18" s="2360"/>
      <c r="G18" s="2361"/>
      <c r="H18" s="2371"/>
      <c r="I18" s="2372">
        <f>ROUND(D18*E18*F18*G18/10000,0)</f>
        <v>0</v>
      </c>
    </row>
    <row r="19" spans="1:9" ht="14.25">
      <c r="A19" s="3770"/>
      <c r="B19" s="3771" t="s">
        <v>2485</v>
      </c>
      <c r="C19" s="3771"/>
      <c r="D19" s="2359"/>
      <c r="E19" s="2359"/>
      <c r="F19" s="2360"/>
      <c r="G19" s="2361"/>
      <c r="H19" s="2371"/>
      <c r="I19" s="2372">
        <f>ROUND(D19*E19*F19*G19/10000,0)</f>
        <v>0</v>
      </c>
    </row>
    <row r="20" spans="1:9">
      <c r="A20" s="3770"/>
      <c r="B20" s="3772" t="s">
        <v>2466</v>
      </c>
      <c r="C20" s="3772"/>
      <c r="D20" s="2363">
        <f>SUM(D17:D19)</f>
        <v>0</v>
      </c>
      <c r="E20" s="2363"/>
      <c r="F20" s="2364"/>
      <c r="G20" s="2361"/>
      <c r="H20" s="2368"/>
      <c r="I20" s="2369">
        <f>SUM(I17:I19)</f>
        <v>0</v>
      </c>
    </row>
    <row r="21" spans="1:9">
      <c r="A21" s="3770" t="s">
        <v>2486</v>
      </c>
      <c r="B21" s="3774"/>
      <c r="C21" s="3774"/>
      <c r="D21" s="3774"/>
      <c r="E21" s="3774"/>
      <c r="F21" s="3774"/>
      <c r="G21" s="3774"/>
      <c r="H21" s="2373">
        <v>0.1</v>
      </c>
      <c r="I21" s="2366">
        <f>ROUND(I10*H21,0)</f>
        <v>0</v>
      </c>
    </row>
    <row r="22" spans="1:9" ht="14.25">
      <c r="A22" s="3775" t="s">
        <v>2487</v>
      </c>
      <c r="B22" s="3776"/>
      <c r="C22" s="3777"/>
      <c r="D22" s="2374" t="s">
        <v>2488</v>
      </c>
      <c r="E22" s="2374" t="s">
        <v>2489</v>
      </c>
      <c r="F22" s="2375" t="s">
        <v>2490</v>
      </c>
      <c r="G22" s="2375" t="s">
        <v>2491</v>
      </c>
      <c r="H22" s="2367" t="s">
        <v>2492</v>
      </c>
      <c r="I22" s="2358" t="s">
        <v>2493</v>
      </c>
    </row>
    <row r="23" spans="1:9" ht="14.25" thickBot="1">
      <c r="A23" s="3778"/>
      <c r="B23" s="3779"/>
      <c r="C23" s="3780"/>
      <c r="D23" s="2376"/>
      <c r="E23" s="2376"/>
      <c r="F23" s="2376"/>
      <c r="G23" s="2377"/>
      <c r="H23" s="2378"/>
      <c r="I23" s="2379">
        <f>ROUND(E23*D23*F23*(1-G23)/10000,0)</f>
        <v>0</v>
      </c>
    </row>
    <row r="26" spans="1:9">
      <c r="A26" s="2380" t="s">
        <v>2494</v>
      </c>
      <c r="B26" s="2380"/>
      <c r="C26" s="2380"/>
      <c r="D26" s="2380"/>
      <c r="E26" s="3781">
        <f>C27-C30-C31-C32</f>
        <v>0</v>
      </c>
      <c r="F26" s="3781"/>
      <c r="G26" s="3781"/>
      <c r="H26" s="2753" t="s">
        <v>2819</v>
      </c>
    </row>
    <row r="27" spans="1:9">
      <c r="A27" s="2381">
        <v>1</v>
      </c>
      <c r="B27" s="2382" t="s">
        <v>2495</v>
      </c>
      <c r="C27" s="2382"/>
      <c r="D27" s="2382"/>
      <c r="E27" s="3782"/>
      <c r="F27" s="3782"/>
      <c r="G27" s="3782"/>
    </row>
    <row r="28" spans="1:9">
      <c r="A28" s="2383" t="s">
        <v>2496</v>
      </c>
      <c r="B28" s="2382" t="s">
        <v>2497</v>
      </c>
      <c r="C28" s="2382"/>
      <c r="D28" s="2382"/>
      <c r="E28" s="3782"/>
      <c r="F28" s="3782"/>
      <c r="G28" s="3782"/>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73"/>
      <c r="F32" s="3773"/>
      <c r="G32" s="3773"/>
    </row>
    <row r="33" spans="1:7" hidden="1">
      <c r="A33" s="3783" t="s">
        <v>2505</v>
      </c>
      <c r="B33" s="3784"/>
      <c r="C33" s="3784"/>
      <c r="D33" s="3785"/>
      <c r="E33" s="3781"/>
      <c r="F33" s="3781"/>
      <c r="G33" s="3781"/>
    </row>
    <row r="34" spans="1:7" hidden="1">
      <c r="A34" s="2385">
        <v>1</v>
      </c>
      <c r="B34" s="2382" t="s">
        <v>2506</v>
      </c>
      <c r="C34" s="2382"/>
      <c r="D34" s="2382"/>
      <c r="E34" s="3782"/>
      <c r="F34" s="3782"/>
      <c r="G34" s="3782"/>
    </row>
    <row r="35" spans="1:7" hidden="1">
      <c r="A35" s="2385">
        <v>2</v>
      </c>
      <c r="B35" s="2382" t="s">
        <v>2507</v>
      </c>
      <c r="C35" s="2382"/>
      <c r="D35" s="2382"/>
      <c r="E35" s="3782"/>
      <c r="F35" s="3782"/>
      <c r="G35" s="3782"/>
    </row>
    <row r="36" spans="1:7" hidden="1">
      <c r="A36" s="2385">
        <v>3</v>
      </c>
      <c r="B36" s="2382" t="s">
        <v>2508</v>
      </c>
      <c r="C36" s="2382"/>
      <c r="D36" s="2382"/>
      <c r="E36" s="3782"/>
      <c r="F36" s="3782"/>
      <c r="G36" s="3782"/>
    </row>
    <row r="37" spans="1:7" hidden="1">
      <c r="A37" s="2385">
        <v>4</v>
      </c>
      <c r="B37" s="2382" t="s">
        <v>2509</v>
      </c>
      <c r="C37" s="2382"/>
      <c r="D37" s="2382"/>
      <c r="E37" s="3782"/>
      <c r="F37" s="3782"/>
      <c r="G37" s="3782"/>
    </row>
    <row r="38" spans="1:7" hidden="1">
      <c r="A38" s="3783" t="s">
        <v>2510</v>
      </c>
      <c r="B38" s="3784"/>
      <c r="C38" s="3784"/>
      <c r="D38" s="3785"/>
      <c r="E38" s="3781"/>
      <c r="F38" s="3781"/>
      <c r="G38" s="37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93.75">
      <c r="A7" s="2587" t="s">
        <v>2725</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2021年6月30日</v>
      </c>
    </row>
    <row r="12" spans="1:4" ht="18.75">
      <c r="A12" s="1709" t="s">
        <v>2012</v>
      </c>
    </row>
    <row r="13" spans="1:4" ht="18.75">
      <c r="A13" s="1703" t="s">
        <v>2058</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5" t="s">
        <v>597</v>
      </c>
      <c r="B1" s="734"/>
      <c r="C1" s="2060"/>
      <c r="D1" s="2060"/>
      <c r="E1" s="2060"/>
      <c r="F1" s="2060"/>
      <c r="G1" s="1987"/>
    </row>
    <row r="2" spans="1:25" s="1939" customFormat="1" ht="18" customHeight="1">
      <c r="A2" s="417" t="s">
        <v>461</v>
      </c>
      <c r="B2" s="419">
        <f ca="1">C23</f>
        <v>0</v>
      </c>
      <c r="C2" s="3265"/>
      <c r="D2" s="3265"/>
      <c r="E2" s="3265"/>
      <c r="F2" s="3265"/>
      <c r="G2" s="3265"/>
    </row>
    <row r="3" spans="1:25" s="1939" customFormat="1" ht="18" customHeight="1">
      <c r="A3" s="1327" t="s">
        <v>1675</v>
      </c>
      <c r="B3" s="419">
        <f ca="1">ROUND(B2*10000/'数据-汇总表'!E3,0)</f>
        <v>0</v>
      </c>
      <c r="C3" s="3265"/>
      <c r="D3" s="3265"/>
      <c r="E3" s="3265"/>
      <c r="F3" s="3265"/>
      <c r="G3" s="3265"/>
    </row>
    <row r="4" spans="1:25" s="1939" customFormat="1" ht="18" customHeight="1">
      <c r="A4" s="420" t="s">
        <v>462</v>
      </c>
      <c r="B4" s="421">
        <f ca="1">ROUND(B2*10000/'数据-汇总表'!D3,0)</f>
        <v>0</v>
      </c>
      <c r="C4" s="3218"/>
      <c r="D4" s="3265"/>
      <c r="E4" s="3265"/>
      <c r="F4" s="3265"/>
      <c r="G4" s="3265"/>
    </row>
    <row r="5" spans="1:25" s="1939" customFormat="1" ht="18" customHeight="1" thickBot="1">
      <c r="A5" s="423"/>
      <c r="B5" s="424">
        <f ca="1">ROUND(B2/('数据-汇总表'!D3/666.67),0)</f>
        <v>0</v>
      </c>
      <c r="C5" s="425" t="s">
        <v>463</v>
      </c>
      <c r="D5" s="3265"/>
      <c r="E5" s="3265"/>
      <c r="F5" s="3265"/>
      <c r="G5" s="3265"/>
    </row>
    <row r="6" spans="1:25" s="2061" customFormat="1" ht="13.5" customHeight="1">
      <c r="A6" s="735"/>
      <c r="B6" s="736" t="s">
        <v>598</v>
      </c>
      <c r="C6" s="737" t="s">
        <v>599</v>
      </c>
      <c r="D6" s="737" t="s">
        <v>600</v>
      </c>
      <c r="E6" s="738" t="s">
        <v>601</v>
      </c>
      <c r="F6" s="738" t="s">
        <v>602</v>
      </c>
      <c r="G6" s="3264" t="s">
        <v>2990</v>
      </c>
    </row>
    <row r="7" spans="1:25" s="2061" customFormat="1" ht="13.5" customHeight="1">
      <c r="A7" s="2320">
        <v>1</v>
      </c>
      <c r="B7" s="739" t="s">
        <v>603</v>
      </c>
      <c r="C7" s="740">
        <f>C8+C9</f>
        <v>0</v>
      </c>
      <c r="D7" s="740"/>
      <c r="E7" s="741"/>
      <c r="F7" s="741"/>
      <c r="G7" s="2329"/>
    </row>
    <row r="8" spans="1:25" s="2061" customFormat="1" ht="13.5" customHeight="1">
      <c r="A8" s="2320" t="s">
        <v>2421</v>
      </c>
      <c r="B8" s="2323" t="s">
        <v>2423</v>
      </c>
      <c r="C8" s="3268">
        <f t="shared" ref="C8:C9" si="0">ROUND(D8*E8/10000,0)</f>
        <v>0</v>
      </c>
      <c r="D8" s="3268">
        <v>0</v>
      </c>
      <c r="E8" s="3269">
        <v>0</v>
      </c>
      <c r="F8" s="741"/>
      <c r="G8" s="742"/>
    </row>
    <row r="9" spans="1:25" s="2061" customFormat="1" ht="13.5" customHeight="1">
      <c r="A9" s="2320" t="s">
        <v>2422</v>
      </c>
      <c r="B9" s="2323" t="s">
        <v>2424</v>
      </c>
      <c r="C9" s="3268">
        <f t="shared" si="0"/>
        <v>0</v>
      </c>
      <c r="D9" s="3268">
        <v>0</v>
      </c>
      <c r="E9" s="3269">
        <v>0</v>
      </c>
      <c r="F9" s="741"/>
      <c r="G9" s="742"/>
    </row>
    <row r="10" spans="1:25" s="2061" customFormat="1" ht="36">
      <c r="A10" s="2320">
        <v>2</v>
      </c>
      <c r="B10" s="739" t="s">
        <v>607</v>
      </c>
      <c r="C10" s="740">
        <f>C11+C14+C15</f>
        <v>0</v>
      </c>
      <c r="D10" s="750"/>
      <c r="E10" s="740"/>
      <c r="F10" s="751"/>
      <c r="G10" s="749" t="s">
        <v>608</v>
      </c>
    </row>
    <row r="11" spans="1:25" s="2061" customFormat="1" ht="13.5" customHeight="1">
      <c r="A11" s="2320" t="s">
        <v>2421</v>
      </c>
      <c r="B11" s="743" t="s">
        <v>604</v>
      </c>
      <c r="C11" s="744">
        <f>'数据-取费表'!B29</f>
        <v>0</v>
      </c>
      <c r="D11" s="745"/>
      <c r="E11" s="744"/>
      <c r="F11" s="746"/>
      <c r="G11" s="2328" t="s">
        <v>2432</v>
      </c>
    </row>
    <row r="12" spans="1:25" s="2061" customFormat="1" ht="13.5" customHeight="1">
      <c r="A12" s="2326" t="s">
        <v>2429</v>
      </c>
      <c r="B12" s="747" t="s">
        <v>605</v>
      </c>
      <c r="C12" s="748">
        <f>ROUND(D12*E12/10000,0)</f>
        <v>0</v>
      </c>
      <c r="D12" s="3268">
        <f>'数据-汇总表'!E5</f>
        <v>0</v>
      </c>
      <c r="E12" s="3268">
        <f>'数据-取费表'!B27</f>
        <v>120</v>
      </c>
      <c r="F12" s="746"/>
      <c r="G12" s="749"/>
    </row>
    <row r="13" spans="1:25" s="2061" customFormat="1" ht="13.5" customHeight="1">
      <c r="A13" s="2326" t="s">
        <v>2428</v>
      </c>
      <c r="B13" s="747" t="s">
        <v>606</v>
      </c>
      <c r="C13" s="748">
        <f>ROUND(D13*E13/10000,0)</f>
        <v>2365</v>
      </c>
      <c r="D13" s="3268">
        <f>'数据-汇总表'!E6</f>
        <v>197089.87</v>
      </c>
      <c r="E13" s="3268">
        <f>'数据-取费表'!B28</f>
        <v>120</v>
      </c>
      <c r="F13" s="746"/>
      <c r="G13" s="749"/>
    </row>
    <row r="14" spans="1:25" s="2061" customFormat="1" ht="13.5" customHeight="1">
      <c r="A14" s="2320" t="s">
        <v>2422</v>
      </c>
      <c r="B14" s="2325" t="s">
        <v>2425</v>
      </c>
      <c r="C14" s="3270">
        <f t="shared" ref="C14:C15" si="1">ROUND(D14*E14/10000,0)</f>
        <v>0</v>
      </c>
      <c r="D14" s="3268">
        <v>0</v>
      </c>
      <c r="E14" s="3269">
        <v>0</v>
      </c>
      <c r="F14" s="2324"/>
      <c r="G14" s="2327" t="s">
        <v>2430</v>
      </c>
    </row>
    <row r="15" spans="1:25" s="2061" customFormat="1" ht="13.5" customHeight="1">
      <c r="A15" s="2320" t="s">
        <v>2427</v>
      </c>
      <c r="B15" s="2325" t="s">
        <v>2426</v>
      </c>
      <c r="C15" s="3270">
        <f t="shared" si="1"/>
        <v>0</v>
      </c>
      <c r="D15" s="3268">
        <v>0</v>
      </c>
      <c r="E15" s="3269">
        <v>0</v>
      </c>
      <c r="F15" s="2324"/>
      <c r="G15" s="2327" t="s">
        <v>2431</v>
      </c>
    </row>
    <row r="16" spans="1:25" s="2062" customFormat="1" ht="48">
      <c r="A16" s="2320">
        <v>3</v>
      </c>
      <c r="B16" s="739" t="s">
        <v>609</v>
      </c>
      <c r="C16" s="3270">
        <f t="shared" ref="C16" si="2">ROUND(D16*E16/10000,0)</f>
        <v>0</v>
      </c>
      <c r="D16" s="3268">
        <v>0</v>
      </c>
      <c r="E16" s="3269">
        <v>0</v>
      </c>
      <c r="F16" s="751"/>
      <c r="G16" s="749"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9" t="s">
        <v>610</v>
      </c>
      <c r="C17" s="2422">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9" t="s">
        <v>611</v>
      </c>
      <c r="C18" s="740">
        <f>ROUND((C7+C10+C16)*F18,0)</f>
        <v>0</v>
      </c>
      <c r="D18" s="752"/>
      <c r="E18" s="753"/>
      <c r="F18" s="1300">
        <v>0.05</v>
      </c>
      <c r="G18" s="755"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9" t="s">
        <v>613</v>
      </c>
      <c r="C19" s="740">
        <f ca="1">C7+C10+C16+C17+C18</f>
        <v>0</v>
      </c>
      <c r="D19" s="750"/>
      <c r="E19" s="740"/>
      <c r="F19" s="751"/>
      <c r="G19" s="755"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9" t="s">
        <v>615</v>
      </c>
      <c r="C20" s="740">
        <f ca="1">ROUND(C19*F20,0)</f>
        <v>0</v>
      </c>
      <c r="D20" s="750"/>
      <c r="E20" s="740"/>
      <c r="F20" s="1300">
        <v>0.1</v>
      </c>
      <c r="G20" s="755"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9" t="s">
        <v>617</v>
      </c>
      <c r="C21" s="740">
        <f ca="1">C19+C20</f>
        <v>0</v>
      </c>
      <c r="D21" s="750"/>
      <c r="E21" s="740"/>
      <c r="F21" s="751"/>
      <c r="G21" s="755"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9" t="s">
        <v>619</v>
      </c>
      <c r="C22" s="740">
        <f ca="1">ROUND(C21*F22,0)</f>
        <v>0</v>
      </c>
      <c r="D22" s="750"/>
      <c r="E22" s="740"/>
      <c r="F22" s="756">
        <f>'数据-取费表'!AP16</f>
        <v>0.81699999999999995</v>
      </c>
      <c r="G22" s="755"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7" t="s">
        <v>621</v>
      </c>
      <c r="C23" s="758">
        <f ca="1">C22</f>
        <v>0</v>
      </c>
      <c r="D23" s="759"/>
      <c r="E23" s="758"/>
      <c r="F23" s="760"/>
      <c r="G23" s="761"/>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1"/>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7" t="s">
        <v>461</v>
      </c>
      <c r="B2" s="839"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3" t="s">
        <v>513</v>
      </c>
      <c r="B3" s="504" t="e">
        <f>C43</f>
        <v>#DIV/0!</v>
      </c>
      <c r="C3" s="841" t="s">
        <v>716</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515</v>
      </c>
      <c r="B4" s="507"/>
      <c r="C4" s="3664" t="s">
        <v>516</v>
      </c>
      <c r="D4" s="3665"/>
      <c r="E4" s="3698" t="s">
        <v>517</v>
      </c>
      <c r="F4" s="3699"/>
      <c r="G4" s="3664" t="s">
        <v>518</v>
      </c>
      <c r="H4" s="3665"/>
      <c r="I4" s="3664" t="s">
        <v>519</v>
      </c>
      <c r="J4" s="3665"/>
      <c r="K4" s="508" t="s">
        <v>520</v>
      </c>
      <c r="L4" s="2012"/>
      <c r="M4" s="2013"/>
      <c r="N4" s="2013"/>
      <c r="O4" s="2013"/>
      <c r="P4" s="3666" t="s">
        <v>521</v>
      </c>
      <c r="Q4" s="3667"/>
      <c r="R4" s="3672" t="s">
        <v>517</v>
      </c>
      <c r="S4" s="3673"/>
      <c r="T4" s="3672" t="s">
        <v>518</v>
      </c>
      <c r="U4" s="3673"/>
      <c r="V4" s="3659" t="s">
        <v>519</v>
      </c>
      <c r="W4" s="3659"/>
      <c r="X4" s="1498"/>
      <c r="Y4" s="3672" t="s">
        <v>521</v>
      </c>
      <c r="Z4" s="3673"/>
      <c r="AA4" s="3661" t="s">
        <v>517</v>
      </c>
      <c r="AB4" s="3662" t="s">
        <v>518</v>
      </c>
      <c r="AC4" s="3661" t="s">
        <v>519</v>
      </c>
    </row>
    <row r="5" spans="1:29" ht="15">
      <c r="A5" s="509"/>
      <c r="B5" s="510"/>
      <c r="C5" s="3680" t="s">
        <v>2890</v>
      </c>
      <c r="D5" s="3681"/>
      <c r="E5" s="3700" t="s">
        <v>2891</v>
      </c>
      <c r="F5" s="3701"/>
      <c r="G5" s="3680" t="s">
        <v>2892</v>
      </c>
      <c r="H5" s="3681"/>
      <c r="I5" s="3680" t="s">
        <v>2893</v>
      </c>
      <c r="J5" s="3681"/>
      <c r="K5" s="508"/>
      <c r="L5" s="2012"/>
      <c r="M5" s="2013"/>
      <c r="N5" s="2013"/>
      <c r="O5" s="2013"/>
      <c r="P5" s="3668"/>
      <c r="Q5" s="3669"/>
      <c r="R5" s="3674"/>
      <c r="S5" s="3675"/>
      <c r="T5" s="3674"/>
      <c r="U5" s="3675"/>
      <c r="V5" s="3659"/>
      <c r="W5" s="3659"/>
      <c r="X5" s="1498"/>
      <c r="Y5" s="3674"/>
      <c r="Z5" s="3675"/>
      <c r="AA5" s="3662"/>
      <c r="AB5" s="3662"/>
      <c r="AC5" s="3662"/>
    </row>
    <row r="6" spans="1:29" ht="15.75" thickBot="1">
      <c r="A6" s="511"/>
      <c r="B6" s="512"/>
      <c r="C6" s="3678" t="s">
        <v>2894</v>
      </c>
      <c r="D6" s="3679"/>
      <c r="E6" s="3696" t="s">
        <v>2894</v>
      </c>
      <c r="F6" s="3697"/>
      <c r="G6" s="3678" t="s">
        <v>2894</v>
      </c>
      <c r="H6" s="3679"/>
      <c r="I6" s="3678" t="s">
        <v>2894</v>
      </c>
      <c r="J6" s="3679"/>
      <c r="K6" s="508" t="s">
        <v>522</v>
      </c>
      <c r="L6" s="2012"/>
      <c r="M6" s="2013"/>
      <c r="N6" s="2013"/>
      <c r="O6" s="2013"/>
      <c r="P6" s="3670"/>
      <c r="Q6" s="3671"/>
      <c r="R6" s="3674"/>
      <c r="S6" s="3675"/>
      <c r="T6" s="3676"/>
      <c r="U6" s="3677"/>
      <c r="V6" s="3659"/>
      <c r="W6" s="3659"/>
      <c r="X6" s="1498"/>
      <c r="Y6" s="3676"/>
      <c r="Z6" s="3677"/>
      <c r="AA6" s="3663"/>
      <c r="AB6" s="3663"/>
      <c r="AC6" s="3663"/>
    </row>
    <row r="7" spans="1:29" s="1201" customFormat="1" ht="15.75" thickBot="1">
      <c r="A7" s="2626"/>
      <c r="B7" s="2633" t="s">
        <v>523</v>
      </c>
      <c r="C7" s="513">
        <f>'数据-取费表'!B2</f>
        <v>44377</v>
      </c>
      <c r="D7" s="514">
        <v>100</v>
      </c>
      <c r="E7" s="515"/>
      <c r="F7" s="516">
        <f>SUMIF(52:52,YEAR(E7)&amp;"-"&amp;MONTH(E7),53:53)</f>
        <v>0</v>
      </c>
      <c r="G7" s="515"/>
      <c r="H7" s="514">
        <f>SUMIF(52:52,YEAR(G7)&amp;"-"&amp;MONTH(G7),53:53)</f>
        <v>0</v>
      </c>
      <c r="I7" s="515"/>
      <c r="J7" s="514">
        <f>SUMIF(52:52,YEAR(I7)&amp;"-"&amp;MONTH(I7),53:53)</f>
        <v>0</v>
      </c>
      <c r="K7" s="518"/>
      <c r="L7" s="2014"/>
      <c r="M7" s="2015"/>
      <c r="N7" s="2015"/>
      <c r="O7" s="2015"/>
      <c r="P7" s="3689" t="s">
        <v>524</v>
      </c>
      <c r="Q7" s="3691"/>
      <c r="R7" s="1499" t="s">
        <v>8</v>
      </c>
      <c r="S7" s="1500">
        <f t="shared" ref="S7:S15" si="0">F7</f>
        <v>0</v>
      </c>
      <c r="T7" s="1499" t="s">
        <v>8</v>
      </c>
      <c r="U7" s="1500">
        <f t="shared" ref="U7:U15" si="1">H7</f>
        <v>0</v>
      </c>
      <c r="V7" s="1499" t="s">
        <v>8</v>
      </c>
      <c r="W7" s="1500">
        <f t="shared" ref="W7:W15" si="2">J7</f>
        <v>0</v>
      </c>
      <c r="X7" s="1501"/>
      <c r="Y7" s="3689" t="s">
        <v>524</v>
      </c>
      <c r="Z7" s="3690"/>
      <c r="AA7" s="1502" t="e">
        <f>D7/F7</f>
        <v>#DIV/0!</v>
      </c>
      <c r="AB7" s="1502" t="e">
        <f>D7/H7</f>
        <v>#DIV/0!</v>
      </c>
      <c r="AC7" s="1502" t="e">
        <f>D7/J7</f>
        <v>#DIV/0!</v>
      </c>
    </row>
    <row r="8" spans="1:29" s="1201" customFormat="1" ht="15.75" thickBot="1">
      <c r="A8" s="2627"/>
      <c r="B8" s="2634" t="s">
        <v>525</v>
      </c>
      <c r="C8" s="519" t="s">
        <v>570</v>
      </c>
      <c r="D8" s="514">
        <v>100</v>
      </c>
      <c r="E8" s="519"/>
      <c r="F8" s="516">
        <f>SUMIF(55:55,E8,56:56)-SUMIF(55:55,C8,56:56)+100</f>
        <v>0</v>
      </c>
      <c r="G8" s="519"/>
      <c r="H8" s="514">
        <f>SUMIF(55:55,G8,56:56)-SUMIF(55:55,C8,56:56)+100</f>
        <v>0</v>
      </c>
      <c r="I8" s="519"/>
      <c r="J8" s="514">
        <f>SUMIF(55:55,I8,56:56)-SUMIF(55:55,C8,56:56)+100</f>
        <v>0</v>
      </c>
      <c r="K8" s="518"/>
      <c r="L8" s="2014"/>
      <c r="M8" s="2015"/>
      <c r="N8" s="2015"/>
      <c r="O8" s="2015"/>
      <c r="P8" s="3689" t="s">
        <v>527</v>
      </c>
      <c r="Q8" s="3690"/>
      <c r="R8" s="1499" t="s">
        <v>8</v>
      </c>
      <c r="S8" s="1500">
        <f t="shared" si="0"/>
        <v>0</v>
      </c>
      <c r="T8" s="1499" t="s">
        <v>8</v>
      </c>
      <c r="U8" s="1500">
        <f t="shared" si="1"/>
        <v>0</v>
      </c>
      <c r="V8" s="1499" t="s">
        <v>8</v>
      </c>
      <c r="W8" s="1500">
        <f t="shared" si="2"/>
        <v>0</v>
      </c>
      <c r="X8" s="1501"/>
      <c r="Y8" s="3689" t="s">
        <v>527</v>
      </c>
      <c r="Z8" s="3690"/>
      <c r="AA8" s="1502" t="e">
        <f t="shared" ref="AA8:AA40" si="3">D8/F8</f>
        <v>#DIV/0!</v>
      </c>
      <c r="AB8" s="1502" t="e">
        <f t="shared" ref="AB8:AB40" si="4">D8/H8</f>
        <v>#DIV/0!</v>
      </c>
      <c r="AC8" s="1502" t="e">
        <f t="shared" ref="AC8:AC40" si="5">D8/J8</f>
        <v>#DIV/0!</v>
      </c>
    </row>
    <row r="9" spans="1:29" s="1201" customFormat="1" ht="15">
      <c r="A9" s="2628"/>
      <c r="B9" s="2635" t="s">
        <v>2733</v>
      </c>
      <c r="C9" s="846"/>
      <c r="D9" s="252">
        <v>100</v>
      </c>
      <c r="E9" s="849"/>
      <c r="F9" s="252">
        <f>SUMIF(57:57,E9,58:58)-SUMIF(57:57,C9,58:58)+100</f>
        <v>100</v>
      </c>
      <c r="G9" s="847"/>
      <c r="H9" s="252">
        <f>SUMIF(57:57,G9,58:58)-SUMIF(57:57,C9,58:58)+100</f>
        <v>100</v>
      </c>
      <c r="I9" s="847"/>
      <c r="J9" s="252">
        <f>SUMIF(57:57,I9,58:58)-SUMIF(57:57,C9,58:58)+100</f>
        <v>100</v>
      </c>
      <c r="K9" s="518"/>
      <c r="L9" s="2014"/>
      <c r="M9" s="2015"/>
      <c r="N9" s="2015"/>
      <c r="O9" s="2016"/>
      <c r="P9" s="3658" t="s">
        <v>529</v>
      </c>
      <c r="Q9" s="1132" t="str">
        <f t="shared" ref="Q9:Q15" si="6">B9</f>
        <v>用途</v>
      </c>
      <c r="R9" s="1499" t="s">
        <v>8</v>
      </c>
      <c r="S9" s="1500">
        <f t="shared" si="0"/>
        <v>100</v>
      </c>
      <c r="T9" s="1499" t="s">
        <v>8</v>
      </c>
      <c r="U9" s="1500">
        <f t="shared" si="1"/>
        <v>100</v>
      </c>
      <c r="V9" s="1499" t="s">
        <v>8</v>
      </c>
      <c r="W9" s="1500">
        <f t="shared" si="2"/>
        <v>100</v>
      </c>
      <c r="X9" s="1501"/>
      <c r="Y9" s="3604"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0"/>
      <c r="F10" s="253">
        <f>SUMIF(59:59,E10,60:60)-SUMIF(59:59,C10,60:60)+100</f>
        <v>100</v>
      </c>
      <c r="G10" s="851"/>
      <c r="H10" s="253">
        <f>SUMIF(59:59,G10,60:60)-SUMIF(59:59,C10,60:60)+100</f>
        <v>100</v>
      </c>
      <c r="I10" s="850"/>
      <c r="J10" s="253">
        <f>SUMIF(59:59,I10,60:60)-SUMIF(59:59,C10,60:60)+100</f>
        <v>100</v>
      </c>
      <c r="K10" s="578"/>
      <c r="L10" s="2017"/>
      <c r="M10" s="2056"/>
      <c r="N10" s="2056"/>
      <c r="O10" s="2018"/>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
      <c r="A11" s="2630"/>
      <c r="B11" s="2634"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9"/>
      <c r="M11" s="2013"/>
      <c r="N11" s="2013"/>
      <c r="O11" s="2020"/>
      <c r="P11" s="3658"/>
      <c r="Q11" s="1132" t="str">
        <f t="shared" si="6"/>
        <v>容积率</v>
      </c>
      <c r="R11" s="1499" t="s">
        <v>8</v>
      </c>
      <c r="S11" s="1500" t="e">
        <f t="shared" si="0"/>
        <v>#N/A</v>
      </c>
      <c r="T11" s="1499" t="s">
        <v>8</v>
      </c>
      <c r="U11" s="1500" t="e">
        <f t="shared" si="1"/>
        <v>#N/A</v>
      </c>
      <c r="V11" s="1499" t="s">
        <v>8</v>
      </c>
      <c r="W11" s="1500" t="e">
        <f t="shared" si="2"/>
        <v>#N/A</v>
      </c>
      <c r="X11" s="1501"/>
      <c r="Y11" s="3604"/>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33"/>
      <c r="F12" s="253">
        <f>SUMIF(64:64,E12,65:65)-SUMIF(64:64,C12,65:65)+100</f>
        <v>100</v>
      </c>
      <c r="G12" s="908"/>
      <c r="H12" s="253">
        <f>SUMIF(64:64,G12,65:65)-SUMIF(64:64,C12,65:65)+100</f>
        <v>100</v>
      </c>
      <c r="I12" s="869"/>
      <c r="J12" s="253">
        <f>SUMIF(64:64,I12,65:65)-SUMIF(64:64,C12,65:65)+100</f>
        <v>100</v>
      </c>
      <c r="K12" s="575"/>
      <c r="L12" s="2014"/>
      <c r="M12" s="2015"/>
      <c r="N12" s="2015"/>
      <c r="O12" s="2016"/>
      <c r="P12" s="3658"/>
      <c r="Q12" s="1132">
        <f t="shared" si="6"/>
        <v>111</v>
      </c>
      <c r="R12" s="1499" t="s">
        <v>8</v>
      </c>
      <c r="S12" s="1500">
        <f t="shared" si="0"/>
        <v>100</v>
      </c>
      <c r="T12" s="1499" t="s">
        <v>8</v>
      </c>
      <c r="U12" s="1500">
        <f t="shared" si="1"/>
        <v>100</v>
      </c>
      <c r="V12" s="1499" t="s">
        <v>8</v>
      </c>
      <c r="W12" s="1500">
        <f t="shared" si="2"/>
        <v>100</v>
      </c>
      <c r="X12" s="1501"/>
      <c r="Y12" s="3604"/>
      <c r="Z12" s="1131">
        <f t="shared" si="7"/>
        <v>111</v>
      </c>
      <c r="AA12" s="1502">
        <f>D12/F12</f>
        <v>1</v>
      </c>
      <c r="AB12" s="1502">
        <f>D12/H12</f>
        <v>1</v>
      </c>
      <c r="AC12" s="1502">
        <f>D12/J12</f>
        <v>1</v>
      </c>
    </row>
    <row r="13" spans="1:29" ht="15">
      <c r="A13" s="2631"/>
      <c r="B13" s="2637">
        <v>111</v>
      </c>
      <c r="C13" s="533"/>
      <c r="D13" s="534">
        <v>100</v>
      </c>
      <c r="E13" s="533"/>
      <c r="F13" s="253">
        <f>SUMIF(66:66,E13,67:67)-SUMIF(66:66,C13,67:67)+100</f>
        <v>100</v>
      </c>
      <c r="G13" s="908"/>
      <c r="H13" s="534">
        <f>SUMIF(66:66,G13,67:67)-SUMIF(66:66,C13,67:67)+100</f>
        <v>100</v>
      </c>
      <c r="I13" s="869"/>
      <c r="J13" s="534">
        <f>SUMIF(66:66,I13,67:67)-SUMIF(66:66,C13,67:67)+100</f>
        <v>100</v>
      </c>
      <c r="K13" s="575"/>
      <c r="L13" s="2021"/>
      <c r="M13" s="2013"/>
      <c r="N13" s="2013"/>
      <c r="O13" s="2020"/>
      <c r="P13" s="3658"/>
      <c r="Q13" s="1132">
        <f t="shared" si="6"/>
        <v>111</v>
      </c>
      <c r="R13" s="1499" t="s">
        <v>8</v>
      </c>
      <c r="S13" s="1500">
        <f t="shared" si="0"/>
        <v>100</v>
      </c>
      <c r="T13" s="1499" t="s">
        <v>8</v>
      </c>
      <c r="U13" s="1500">
        <f t="shared" si="1"/>
        <v>100</v>
      </c>
      <c r="V13" s="1499" t="s">
        <v>8</v>
      </c>
      <c r="W13" s="1500">
        <f t="shared" si="2"/>
        <v>100</v>
      </c>
      <c r="X13" s="1501"/>
      <c r="Y13" s="3604"/>
      <c r="Z13" s="1131">
        <f t="shared" si="7"/>
        <v>111</v>
      </c>
      <c r="AA13" s="1502">
        <f t="shared" si="3"/>
        <v>1</v>
      </c>
      <c r="AB13" s="1502">
        <f t="shared" si="4"/>
        <v>1</v>
      </c>
      <c r="AC13" s="1502">
        <f t="shared" si="5"/>
        <v>1</v>
      </c>
    </row>
    <row r="14" spans="1:29" ht="15.75" thickBot="1">
      <c r="A14" s="2632"/>
      <c r="B14" s="2638">
        <v>111</v>
      </c>
      <c r="C14" s="539"/>
      <c r="D14" s="540">
        <v>100</v>
      </c>
      <c r="E14" s="539"/>
      <c r="F14" s="540">
        <f>SUMIF(68:68,E14,69:69)-SUMIF(68:68,C14,69:69)+100</f>
        <v>100</v>
      </c>
      <c r="G14" s="908"/>
      <c r="H14" s="540">
        <f>SUMIF(68:68,G14,69:69)-SUMIF(68:68,C14,69:69)+100</f>
        <v>100</v>
      </c>
      <c r="I14" s="869"/>
      <c r="J14" s="540">
        <f>SUMIF(68:68,I14,69:69)-SUMIF(68:68,C14,69:69)+100</f>
        <v>100</v>
      </c>
      <c r="K14" s="575"/>
      <c r="L14" s="2021"/>
      <c r="M14" s="2013"/>
      <c r="N14" s="2013"/>
      <c r="O14" s="2020"/>
      <c r="P14" s="3658"/>
      <c r="Q14" s="1132">
        <f t="shared" si="6"/>
        <v>111</v>
      </c>
      <c r="R14" s="1499" t="s">
        <v>8</v>
      </c>
      <c r="S14" s="1500">
        <f t="shared" si="0"/>
        <v>100</v>
      </c>
      <c r="T14" s="1499" t="s">
        <v>8</v>
      </c>
      <c r="U14" s="1500">
        <f t="shared" si="1"/>
        <v>100</v>
      </c>
      <c r="V14" s="1499" t="s">
        <v>8</v>
      </c>
      <c r="W14" s="1500">
        <f t="shared" si="2"/>
        <v>100</v>
      </c>
      <c r="X14" s="1501"/>
      <c r="Y14" s="3604"/>
      <c r="Z14" s="1131">
        <f t="shared" si="7"/>
        <v>111</v>
      </c>
      <c r="AA14" s="1502">
        <f t="shared" si="3"/>
        <v>1</v>
      </c>
      <c r="AB14" s="1502">
        <f t="shared" si="4"/>
        <v>1</v>
      </c>
      <c r="AC14" s="1502">
        <f t="shared" si="5"/>
        <v>1</v>
      </c>
    </row>
    <row r="15" spans="1:29" ht="57">
      <c r="A15" s="2624" t="s">
        <v>2731</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1"/>
      <c r="M15" s="2013"/>
      <c r="N15" s="2013"/>
      <c r="O15" s="2020"/>
      <c r="P15" s="3692" t="s">
        <v>534</v>
      </c>
      <c r="Q15" s="1503" t="str">
        <f t="shared" si="6"/>
        <v>产业集聚程度</v>
      </c>
      <c r="R15" s="1504" t="s">
        <v>8</v>
      </c>
      <c r="S15" s="1505">
        <f t="shared" si="0"/>
        <v>100</v>
      </c>
      <c r="T15" s="1504" t="s">
        <v>8</v>
      </c>
      <c r="U15" s="1505">
        <f t="shared" si="1"/>
        <v>100</v>
      </c>
      <c r="V15" s="1504" t="s">
        <v>8</v>
      </c>
      <c r="W15" s="1505">
        <f t="shared" si="2"/>
        <v>100</v>
      </c>
      <c r="X15" s="1498"/>
      <c r="Y15" s="3692" t="s">
        <v>534</v>
      </c>
      <c r="Z15" s="1506" t="str">
        <f t="shared" si="7"/>
        <v>产业集聚程度</v>
      </c>
      <c r="AA15" s="1507">
        <f t="shared" si="3"/>
        <v>1</v>
      </c>
      <c r="AB15" s="1507">
        <f t="shared" si="4"/>
        <v>1</v>
      </c>
      <c r="AC15" s="1507">
        <f t="shared" si="5"/>
        <v>1</v>
      </c>
    </row>
    <row r="16" spans="1:29" ht="15">
      <c r="A16" s="526"/>
      <c r="B16" s="858"/>
      <c r="C16" s="570"/>
      <c r="D16" s="549"/>
      <c r="E16" s="570"/>
      <c r="F16" s="551"/>
      <c r="G16" s="570"/>
      <c r="H16" s="553"/>
      <c r="I16" s="570"/>
      <c r="J16" s="549"/>
      <c r="K16" s="888"/>
      <c r="L16" s="2021"/>
      <c r="M16" s="2013"/>
      <c r="N16" s="2013"/>
      <c r="O16" s="2020"/>
      <c r="P16" s="3693"/>
      <c r="Q16" s="1503"/>
      <c r="R16" s="1504"/>
      <c r="S16" s="1505"/>
      <c r="T16" s="1504"/>
      <c r="U16" s="1505"/>
      <c r="V16" s="1504"/>
      <c r="W16" s="1505"/>
      <c r="X16" s="1498"/>
      <c r="Y16" s="3693"/>
      <c r="Z16" s="1506"/>
      <c r="AA16" s="1507">
        <v>1</v>
      </c>
      <c r="AB16" s="1507">
        <v>1</v>
      </c>
      <c r="AC16" s="1507">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1"/>
      <c r="M17" s="2013"/>
      <c r="N17" s="2013"/>
      <c r="O17" s="2020"/>
      <c r="P17" s="3693"/>
      <c r="Q17" s="1503" t="str">
        <f>B17</f>
        <v>交通便捷度</v>
      </c>
      <c r="R17" s="1504" t="s">
        <v>8</v>
      </c>
      <c r="S17" s="1505">
        <f>F17</f>
        <v>100</v>
      </c>
      <c r="T17" s="1504" t="s">
        <v>8</v>
      </c>
      <c r="U17" s="1505">
        <f>H17</f>
        <v>100</v>
      </c>
      <c r="V17" s="1504" t="s">
        <v>8</v>
      </c>
      <c r="W17" s="1505">
        <f>J17</f>
        <v>100</v>
      </c>
      <c r="X17" s="1498"/>
      <c r="Y17" s="3693"/>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88"/>
      <c r="L18" s="2021"/>
      <c r="M18" s="2013"/>
      <c r="N18" s="2013"/>
      <c r="O18" s="2020"/>
      <c r="P18" s="3693"/>
      <c r="Q18" s="1503"/>
      <c r="R18" s="1504"/>
      <c r="S18" s="1505"/>
      <c r="T18" s="1504"/>
      <c r="U18" s="1505"/>
      <c r="V18" s="1504"/>
      <c r="W18" s="1505"/>
      <c r="X18" s="1498"/>
      <c r="Y18" s="3693"/>
      <c r="Z18" s="1506"/>
      <c r="AA18" s="1507">
        <v>1</v>
      </c>
      <c r="AB18" s="1507">
        <v>1</v>
      </c>
      <c r="AC18" s="1507">
        <v>1</v>
      </c>
    </row>
    <row r="19" spans="1:29" ht="42.75">
      <c r="A19" s="526"/>
      <c r="B19" s="2444"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1"/>
      <c r="M19" s="2013"/>
      <c r="N19" s="2013"/>
      <c r="O19" s="2020"/>
      <c r="P19" s="3693"/>
      <c r="Q19" s="1503" t="str">
        <f>B19</f>
        <v>公共配套设施</v>
      </c>
      <c r="R19" s="1504" t="s">
        <v>8</v>
      </c>
      <c r="S19" s="1505">
        <f>F19</f>
        <v>100</v>
      </c>
      <c r="T19" s="1504" t="s">
        <v>8</v>
      </c>
      <c r="U19" s="1505">
        <f>H19</f>
        <v>100</v>
      </c>
      <c r="V19" s="1504" t="s">
        <v>8</v>
      </c>
      <c r="W19" s="1505">
        <f>J19</f>
        <v>100</v>
      </c>
      <c r="X19" s="1498"/>
      <c r="Y19" s="3693"/>
      <c r="Z19" s="1506" t="str">
        <f>Q19</f>
        <v>公共配套设施</v>
      </c>
      <c r="AA19" s="1507">
        <f t="shared" si="3"/>
        <v>1</v>
      </c>
      <c r="AB19" s="1507">
        <f t="shared" si="4"/>
        <v>1</v>
      </c>
      <c r="AC19" s="1507">
        <f t="shared" si="5"/>
        <v>1</v>
      </c>
    </row>
    <row r="20" spans="1:29" ht="15">
      <c r="A20" s="526"/>
      <c r="B20" s="560"/>
      <c r="C20" s="570"/>
      <c r="D20" s="549"/>
      <c r="E20" s="550"/>
      <c r="F20" s="551"/>
      <c r="G20" s="552"/>
      <c r="H20" s="549"/>
      <c r="I20" s="550"/>
      <c r="J20" s="549"/>
      <c r="K20" s="888"/>
      <c r="L20" s="2021"/>
      <c r="M20" s="2013"/>
      <c r="N20" s="2013"/>
      <c r="O20" s="2020"/>
      <c r="P20" s="3693"/>
      <c r="Q20" s="1503"/>
      <c r="R20" s="1504"/>
      <c r="S20" s="1505"/>
      <c r="T20" s="1504"/>
      <c r="U20" s="1505"/>
      <c r="V20" s="1504"/>
      <c r="W20" s="1505"/>
      <c r="X20" s="1498"/>
      <c r="Y20" s="3693"/>
      <c r="Z20" s="1506"/>
      <c r="AA20" s="1507">
        <v>1</v>
      </c>
      <c r="AB20" s="1507">
        <v>1</v>
      </c>
      <c r="AC20" s="1507">
        <v>1</v>
      </c>
    </row>
    <row r="21" spans="1:29" ht="28.5">
      <c r="A21" s="526"/>
      <c r="B21" s="2432"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1"/>
      <c r="M21" s="2013"/>
      <c r="N21" s="2013"/>
      <c r="O21" s="2020"/>
      <c r="P21" s="3693"/>
      <c r="Q21" s="2426" t="str">
        <f>B21</f>
        <v>基础设施水平</v>
      </c>
      <c r="R21" s="1504" t="s">
        <v>8</v>
      </c>
      <c r="S21" s="1505">
        <f>F21</f>
        <v>100</v>
      </c>
      <c r="T21" s="1504" t="s">
        <v>8</v>
      </c>
      <c r="U21" s="1505">
        <f>H21</f>
        <v>100</v>
      </c>
      <c r="V21" s="1504" t="s">
        <v>8</v>
      </c>
      <c r="W21" s="1505">
        <f>J21</f>
        <v>100</v>
      </c>
      <c r="X21" s="2428"/>
      <c r="Y21" s="3693"/>
      <c r="Z21" s="2427" t="str">
        <f>Q21</f>
        <v>基础设施水平</v>
      </c>
      <c r="AA21" s="1507">
        <f t="shared" ref="AA21" si="8">D21/F21</f>
        <v>1</v>
      </c>
      <c r="AB21" s="1507">
        <f t="shared" ref="AB21" si="9">D21/H21</f>
        <v>1</v>
      </c>
      <c r="AC21" s="1507">
        <f t="shared" ref="AC21" si="10">D21/J21</f>
        <v>1</v>
      </c>
    </row>
    <row r="22" spans="1:29" ht="15">
      <c r="A22" s="526"/>
      <c r="B22" s="572"/>
      <c r="C22" s="862"/>
      <c r="D22" s="549"/>
      <c r="E22" s="570"/>
      <c r="F22" s="551"/>
      <c r="G22" s="570"/>
      <c r="H22" s="549"/>
      <c r="I22" s="570"/>
      <c r="J22" s="549"/>
      <c r="K22" s="2443"/>
      <c r="L22" s="2021"/>
      <c r="M22" s="2013"/>
      <c r="N22" s="2013"/>
      <c r="O22" s="2020"/>
      <c r="P22" s="3693"/>
      <c r="Q22" s="2426"/>
      <c r="R22" s="1504"/>
      <c r="S22" s="1505"/>
      <c r="T22" s="1504"/>
      <c r="U22" s="1505"/>
      <c r="V22" s="1504"/>
      <c r="W22" s="1505"/>
      <c r="X22" s="2428"/>
      <c r="Y22" s="3693"/>
      <c r="Z22" s="2427"/>
      <c r="AA22" s="1507">
        <v>1</v>
      </c>
      <c r="AB22" s="1507">
        <v>1</v>
      </c>
      <c r="AC22" s="1507">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1"/>
      <c r="M23" s="2013"/>
      <c r="N23" s="2013"/>
      <c r="O23" s="2020"/>
      <c r="P23" s="3693"/>
      <c r="Q23" s="1503" t="str">
        <f>B23</f>
        <v>环境质量</v>
      </c>
      <c r="R23" s="1504" t="s">
        <v>8</v>
      </c>
      <c r="S23" s="1505">
        <f>F23</f>
        <v>100</v>
      </c>
      <c r="T23" s="1504" t="s">
        <v>8</v>
      </c>
      <c r="U23" s="1505">
        <f>H23</f>
        <v>100</v>
      </c>
      <c r="V23" s="1504" t="s">
        <v>8</v>
      </c>
      <c r="W23" s="1505">
        <f>J23</f>
        <v>100</v>
      </c>
      <c r="X23" s="1498"/>
      <c r="Y23" s="3693"/>
      <c r="Z23" s="1506" t="str">
        <f>Q23</f>
        <v>环境质量</v>
      </c>
      <c r="AA23" s="1507">
        <f t="shared" si="3"/>
        <v>1</v>
      </c>
      <c r="AB23" s="1507">
        <f t="shared" si="4"/>
        <v>1</v>
      </c>
      <c r="AC23" s="1507">
        <f t="shared" si="5"/>
        <v>1</v>
      </c>
    </row>
    <row r="24" spans="1:29" ht="15">
      <c r="A24" s="526"/>
      <c r="B24" s="910"/>
      <c r="C24" s="570"/>
      <c r="D24" s="549"/>
      <c r="E24" s="550"/>
      <c r="F24" s="551"/>
      <c r="G24" s="552"/>
      <c r="H24" s="549"/>
      <c r="I24" s="550"/>
      <c r="J24" s="549"/>
      <c r="K24" s="888"/>
      <c r="L24" s="2021"/>
      <c r="M24" s="2013"/>
      <c r="N24" s="2013"/>
      <c r="O24" s="2020"/>
      <c r="P24" s="3693"/>
      <c r="Q24" s="1503"/>
      <c r="R24" s="1504"/>
      <c r="S24" s="1505"/>
      <c r="T24" s="1504"/>
      <c r="U24" s="1505"/>
      <c r="V24" s="1504"/>
      <c r="W24" s="1505"/>
      <c r="X24" s="1498"/>
      <c r="Y24" s="3693"/>
      <c r="Z24" s="1506"/>
      <c r="AA24" s="1507">
        <v>1</v>
      </c>
      <c r="AB24" s="1507">
        <v>1</v>
      </c>
      <c r="AC24" s="1507">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1"/>
      <c r="M25" s="2013"/>
      <c r="N25" s="2013"/>
      <c r="O25" s="2020"/>
      <c r="P25" s="3693"/>
      <c r="Q25" s="1503">
        <f>B25</f>
        <v>111</v>
      </c>
      <c r="R25" s="1504" t="s">
        <v>8</v>
      </c>
      <c r="S25" s="1505">
        <f>F25</f>
        <v>100</v>
      </c>
      <c r="T25" s="1504" t="s">
        <v>8</v>
      </c>
      <c r="U25" s="1505">
        <f>H25</f>
        <v>100</v>
      </c>
      <c r="V25" s="1504" t="s">
        <v>8</v>
      </c>
      <c r="W25" s="1505">
        <f>J25</f>
        <v>100</v>
      </c>
      <c r="X25" s="1498"/>
      <c r="Y25" s="3693"/>
      <c r="Z25" s="1506">
        <f>Q25</f>
        <v>111</v>
      </c>
      <c r="AA25" s="1507">
        <f t="shared" si="3"/>
        <v>1</v>
      </c>
      <c r="AB25" s="1507">
        <f t="shared" si="4"/>
        <v>1</v>
      </c>
      <c r="AC25" s="1507">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1"/>
      <c r="M26" s="2013"/>
      <c r="N26" s="2013"/>
      <c r="O26" s="2020"/>
      <c r="P26" s="3693"/>
      <c r="Q26" s="1503">
        <f t="shared" ref="Q26:Q40" si="11">B26</f>
        <v>111</v>
      </c>
      <c r="R26" s="1504" t="s">
        <v>8</v>
      </c>
      <c r="S26" s="1505">
        <f>F26</f>
        <v>100</v>
      </c>
      <c r="T26" s="1504" t="s">
        <v>8</v>
      </c>
      <c r="U26" s="1505">
        <f>H26</f>
        <v>100</v>
      </c>
      <c r="V26" s="1504" t="s">
        <v>8</v>
      </c>
      <c r="W26" s="1505">
        <f>J26</f>
        <v>100</v>
      </c>
      <c r="X26" s="1498"/>
      <c r="Y26" s="3693"/>
      <c r="Z26" s="1506">
        <f>Q26</f>
        <v>111</v>
      </c>
      <c r="AA26" s="1507">
        <f t="shared" si="3"/>
        <v>1</v>
      </c>
      <c r="AB26" s="1507">
        <f t="shared" si="4"/>
        <v>1</v>
      </c>
      <c r="AC26" s="1507">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4"/>
      <c r="M27" s="2015"/>
      <c r="N27" s="2015"/>
      <c r="O27" s="2016"/>
      <c r="P27" s="3693"/>
      <c r="Q27" s="1132">
        <f t="shared" si="11"/>
        <v>111</v>
      </c>
      <c r="R27" s="1499" t="s">
        <v>8</v>
      </c>
      <c r="S27" s="1500">
        <f>F27</f>
        <v>100</v>
      </c>
      <c r="T27" s="1499" t="s">
        <v>8</v>
      </c>
      <c r="U27" s="1500">
        <f>H27</f>
        <v>100</v>
      </c>
      <c r="V27" s="1499" t="s">
        <v>8</v>
      </c>
      <c r="W27" s="1500">
        <f>J27</f>
        <v>100</v>
      </c>
      <c r="X27" s="1501"/>
      <c r="Y27" s="3693"/>
      <c r="Z27" s="1131">
        <f>Q27</f>
        <v>111</v>
      </c>
      <c r="AA27" s="1507">
        <f>D27/F27</f>
        <v>1</v>
      </c>
      <c r="AB27" s="1507">
        <f>D27/H27</f>
        <v>1</v>
      </c>
      <c r="AC27" s="1507">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1"/>
      <c r="M28" s="2013"/>
      <c r="N28" s="2013"/>
      <c r="O28" s="2020"/>
      <c r="P28" s="3693"/>
      <c r="Q28" s="1503">
        <f t="shared" si="11"/>
        <v>111</v>
      </c>
      <c r="R28" s="1504" t="s">
        <v>8</v>
      </c>
      <c r="S28" s="1505">
        <f t="shared" ref="S28:S40" si="12">F28</f>
        <v>100</v>
      </c>
      <c r="T28" s="1504" t="s">
        <v>8</v>
      </c>
      <c r="U28" s="1505">
        <f t="shared" ref="U28:U40" si="13">H28</f>
        <v>100</v>
      </c>
      <c r="V28" s="1504" t="s">
        <v>8</v>
      </c>
      <c r="W28" s="1505">
        <f t="shared" ref="W28:W40" si="14">J28</f>
        <v>100</v>
      </c>
      <c r="X28" s="1498"/>
      <c r="Y28" s="3693"/>
      <c r="Z28" s="1506">
        <f t="shared" ref="Z28:Z40" si="15">Q28</f>
        <v>111</v>
      </c>
      <c r="AA28" s="1507">
        <f t="shared" si="3"/>
        <v>1</v>
      </c>
      <c r="AB28" s="1507">
        <f t="shared" si="4"/>
        <v>1</v>
      </c>
      <c r="AC28" s="1507">
        <f t="shared" si="5"/>
        <v>1</v>
      </c>
    </row>
    <row r="29" spans="1:29" ht="15">
      <c r="A29" s="2621" t="s">
        <v>2732</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1"/>
      <c r="M29" s="2013"/>
      <c r="N29" s="2013"/>
      <c r="O29" s="2020"/>
      <c r="P29" s="3694" t="s">
        <v>544</v>
      </c>
      <c r="Q29" s="1503" t="str">
        <f t="shared" si="11"/>
        <v>建筑类型</v>
      </c>
      <c r="R29" s="1504" t="s">
        <v>8</v>
      </c>
      <c r="S29" s="1505">
        <f t="shared" si="12"/>
        <v>100</v>
      </c>
      <c r="T29" s="1504" t="s">
        <v>8</v>
      </c>
      <c r="U29" s="1505">
        <f t="shared" si="13"/>
        <v>100</v>
      </c>
      <c r="V29" s="1504" t="s">
        <v>8</v>
      </c>
      <c r="W29" s="1505">
        <f t="shared" si="14"/>
        <v>100</v>
      </c>
      <c r="X29" s="1498"/>
      <c r="Y29" s="3695" t="s">
        <v>544</v>
      </c>
      <c r="Z29" s="1506" t="str">
        <f t="shared" si="15"/>
        <v>建筑类型</v>
      </c>
      <c r="AA29" s="1507">
        <f t="shared" si="3"/>
        <v>1</v>
      </c>
      <c r="AB29" s="1507">
        <f t="shared" si="4"/>
        <v>1</v>
      </c>
      <c r="AC29" s="1507">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19"/>
      <c r="M30" s="2049"/>
      <c r="N30" s="2049"/>
      <c r="O30" s="2022"/>
      <c r="P30" s="3695"/>
      <c r="Q30" s="1532" t="str">
        <f t="shared" si="11"/>
        <v>项目建筑规模</v>
      </c>
      <c r="R30" s="1508" t="s">
        <v>8</v>
      </c>
      <c r="S30" s="1509" t="e">
        <f t="shared" si="12"/>
        <v>#N/A</v>
      </c>
      <c r="T30" s="1508" t="s">
        <v>8</v>
      </c>
      <c r="U30" s="1509" t="e">
        <f t="shared" si="13"/>
        <v>#N/A</v>
      </c>
      <c r="V30" s="1508" t="s">
        <v>8</v>
      </c>
      <c r="W30" s="1509" t="e">
        <f t="shared" si="14"/>
        <v>#N/A</v>
      </c>
      <c r="X30" s="1510"/>
      <c r="Y30" s="3695"/>
      <c r="Z30" s="1511" t="str">
        <f t="shared" si="15"/>
        <v>项目建筑规模</v>
      </c>
      <c r="AA30" s="1507" t="e">
        <f t="shared" si="3"/>
        <v>#N/A</v>
      </c>
      <c r="AB30" s="1507" t="e">
        <f t="shared" si="4"/>
        <v>#N/A</v>
      </c>
      <c r="AC30" s="1507"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1"/>
      <c r="M31" s="2013"/>
      <c r="N31" s="2013"/>
      <c r="O31" s="2020"/>
      <c r="P31" s="3695"/>
      <c r="Q31" s="1503" t="str">
        <f t="shared" si="11"/>
        <v>建筑结构</v>
      </c>
      <c r="R31" s="1504" t="s">
        <v>8</v>
      </c>
      <c r="S31" s="1505">
        <f t="shared" si="12"/>
        <v>100</v>
      </c>
      <c r="T31" s="1504" t="s">
        <v>8</v>
      </c>
      <c r="U31" s="1505">
        <f t="shared" si="13"/>
        <v>100</v>
      </c>
      <c r="V31" s="1504" t="s">
        <v>8</v>
      </c>
      <c r="W31" s="1505">
        <f t="shared" si="14"/>
        <v>100</v>
      </c>
      <c r="X31" s="1498"/>
      <c r="Y31" s="3695"/>
      <c r="Z31" s="1506" t="str">
        <f t="shared" si="15"/>
        <v>建筑结构</v>
      </c>
      <c r="AA31" s="1507">
        <f t="shared" si="3"/>
        <v>1</v>
      </c>
      <c r="AB31" s="1507">
        <f t="shared" si="4"/>
        <v>1</v>
      </c>
      <c r="AC31" s="1507">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1"/>
      <c r="M32" s="2013"/>
      <c r="N32" s="2013"/>
      <c r="O32" s="2020"/>
      <c r="P32" s="3695"/>
      <c r="Q32" s="1503" t="str">
        <f t="shared" si="11"/>
        <v>公共部分装修</v>
      </c>
      <c r="R32" s="1504" t="s">
        <v>8</v>
      </c>
      <c r="S32" s="1505">
        <f t="shared" si="12"/>
        <v>100</v>
      </c>
      <c r="T32" s="1504" t="s">
        <v>8</v>
      </c>
      <c r="U32" s="1505">
        <f t="shared" si="13"/>
        <v>100</v>
      </c>
      <c r="V32" s="1504" t="s">
        <v>8</v>
      </c>
      <c r="W32" s="1505">
        <f t="shared" si="14"/>
        <v>100</v>
      </c>
      <c r="X32" s="1498"/>
      <c r="Y32" s="3695"/>
      <c r="Z32" s="1506" t="str">
        <f t="shared" si="15"/>
        <v>公共部分装修</v>
      </c>
      <c r="AA32" s="1507">
        <f t="shared" si="3"/>
        <v>1</v>
      </c>
      <c r="AB32" s="1507">
        <f t="shared" si="4"/>
        <v>1</v>
      </c>
      <c r="AC32" s="1507">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1"/>
      <c r="M33" s="2013"/>
      <c r="N33" s="2013"/>
      <c r="O33" s="2020"/>
      <c r="P33" s="3695"/>
      <c r="Q33" s="1503" t="str">
        <f t="shared" si="11"/>
        <v>成新度</v>
      </c>
      <c r="R33" s="1504" t="s">
        <v>8</v>
      </c>
      <c r="S33" s="1505" t="e">
        <f t="shared" si="12"/>
        <v>#N/A</v>
      </c>
      <c r="T33" s="1504" t="s">
        <v>8</v>
      </c>
      <c r="U33" s="1505" t="e">
        <f t="shared" si="13"/>
        <v>#N/A</v>
      </c>
      <c r="V33" s="1504" t="s">
        <v>8</v>
      </c>
      <c r="W33" s="1505" t="e">
        <f t="shared" si="14"/>
        <v>#N/A</v>
      </c>
      <c r="X33" s="1498"/>
      <c r="Y33" s="3695"/>
      <c r="Z33" s="1506" t="str">
        <f t="shared" si="15"/>
        <v>成新度</v>
      </c>
      <c r="AA33" s="1507" t="e">
        <f t="shared" si="3"/>
        <v>#N/A</v>
      </c>
      <c r="AB33" s="1507" t="e">
        <f t="shared" si="4"/>
        <v>#N/A</v>
      </c>
      <c r="AC33" s="1507"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4"/>
      <c r="M34" s="2015"/>
      <c r="N34" s="2015"/>
      <c r="O34" s="2016"/>
      <c r="P34" s="3695"/>
      <c r="Q34" s="1132" t="str">
        <f t="shared" si="11"/>
        <v>物业管理</v>
      </c>
      <c r="R34" s="1499" t="s">
        <v>8</v>
      </c>
      <c r="S34" s="1500">
        <f t="shared" si="12"/>
        <v>100</v>
      </c>
      <c r="T34" s="1499" t="s">
        <v>8</v>
      </c>
      <c r="U34" s="1500">
        <f t="shared" si="13"/>
        <v>100</v>
      </c>
      <c r="V34" s="1499" t="s">
        <v>8</v>
      </c>
      <c r="W34" s="1500">
        <f t="shared" si="14"/>
        <v>100</v>
      </c>
      <c r="X34" s="1501"/>
      <c r="Y34" s="3695"/>
      <c r="Z34" s="1131" t="str">
        <f t="shared" si="15"/>
        <v>物业管理</v>
      </c>
      <c r="AA34" s="1502">
        <f t="shared" si="3"/>
        <v>1</v>
      </c>
      <c r="AB34" s="1502">
        <f t="shared" si="4"/>
        <v>1</v>
      </c>
      <c r="AC34" s="1502">
        <f t="shared" si="5"/>
        <v>1</v>
      </c>
    </row>
    <row r="35" spans="1:29" ht="15">
      <c r="A35" s="588"/>
      <c r="B35" s="1806"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1"/>
      <c r="M35" s="2013"/>
      <c r="N35" s="2013"/>
      <c r="O35" s="2020"/>
      <c r="P35" s="3695" t="s">
        <v>544</v>
      </c>
      <c r="Q35" s="1503" t="str">
        <f t="shared" si="11"/>
        <v>市政基础设施</v>
      </c>
      <c r="R35" s="1504" t="s">
        <v>8</v>
      </c>
      <c r="S35" s="1505">
        <f t="shared" si="12"/>
        <v>100</v>
      </c>
      <c r="T35" s="1504" t="s">
        <v>8</v>
      </c>
      <c r="U35" s="1505">
        <f t="shared" si="13"/>
        <v>100</v>
      </c>
      <c r="V35" s="1504" t="s">
        <v>8</v>
      </c>
      <c r="W35" s="1505">
        <f t="shared" si="14"/>
        <v>100</v>
      </c>
      <c r="X35" s="1498"/>
      <c r="Y35" s="3695" t="s">
        <v>544</v>
      </c>
      <c r="Z35" s="1506" t="str">
        <f t="shared" si="15"/>
        <v>市政基础设施</v>
      </c>
      <c r="AA35" s="1507">
        <f t="shared" si="3"/>
        <v>1</v>
      </c>
      <c r="AB35" s="1507">
        <f t="shared" si="4"/>
        <v>1</v>
      </c>
      <c r="AC35" s="1507">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1"/>
      <c r="M36" s="2013"/>
      <c r="N36" s="2013"/>
      <c r="O36" s="2020"/>
      <c r="P36" s="3695"/>
      <c r="Q36" s="1503" t="str">
        <f t="shared" si="11"/>
        <v>内部装修</v>
      </c>
      <c r="R36" s="1504" t="s">
        <v>8</v>
      </c>
      <c r="S36" s="1505">
        <f t="shared" si="12"/>
        <v>100</v>
      </c>
      <c r="T36" s="1504" t="s">
        <v>8</v>
      </c>
      <c r="U36" s="1505">
        <f t="shared" si="13"/>
        <v>100</v>
      </c>
      <c r="V36" s="1504" t="s">
        <v>8</v>
      </c>
      <c r="W36" s="1505">
        <f t="shared" si="14"/>
        <v>100</v>
      </c>
      <c r="X36" s="1498"/>
      <c r="Y36" s="3695"/>
      <c r="Z36" s="1506" t="str">
        <f t="shared" si="15"/>
        <v>内部装修</v>
      </c>
      <c r="AA36" s="1507">
        <f t="shared" si="3"/>
        <v>1</v>
      </c>
      <c r="AB36" s="1507">
        <f t="shared" si="4"/>
        <v>1</v>
      </c>
      <c r="AC36" s="1507">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1"/>
      <c r="M37" s="2013"/>
      <c r="N37" s="2013"/>
      <c r="O37" s="2020"/>
      <c r="P37" s="3695"/>
      <c r="Q37" s="1503" t="str">
        <f t="shared" si="11"/>
        <v>内部装修状况</v>
      </c>
      <c r="R37" s="1504" t="s">
        <v>8</v>
      </c>
      <c r="S37" s="1505">
        <f t="shared" si="12"/>
        <v>100</v>
      </c>
      <c r="T37" s="1504" t="s">
        <v>8</v>
      </c>
      <c r="U37" s="1505">
        <f t="shared" si="13"/>
        <v>100</v>
      </c>
      <c r="V37" s="1504" t="s">
        <v>8</v>
      </c>
      <c r="W37" s="1505">
        <f t="shared" si="14"/>
        <v>100</v>
      </c>
      <c r="X37" s="1498"/>
      <c r="Y37" s="3695"/>
      <c r="Z37" s="1506" t="str">
        <f t="shared" si="15"/>
        <v>内部装修状况</v>
      </c>
      <c r="AA37" s="1507">
        <f t="shared" si="3"/>
        <v>1</v>
      </c>
      <c r="AB37" s="1507">
        <f t="shared" si="4"/>
        <v>1</v>
      </c>
      <c r="AC37" s="1507">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19"/>
      <c r="M38" s="2049"/>
      <c r="N38" s="2049"/>
      <c r="O38" s="2022"/>
      <c r="P38" s="3695"/>
      <c r="Q38" s="1532">
        <f t="shared" si="11"/>
        <v>111</v>
      </c>
      <c r="R38" s="1508" t="s">
        <v>8</v>
      </c>
      <c r="S38" s="1509">
        <f t="shared" si="12"/>
        <v>100</v>
      </c>
      <c r="T38" s="1508" t="s">
        <v>8</v>
      </c>
      <c r="U38" s="1509">
        <f t="shared" si="13"/>
        <v>100</v>
      </c>
      <c r="V38" s="1508" t="s">
        <v>8</v>
      </c>
      <c r="W38" s="1509">
        <f t="shared" si="14"/>
        <v>100</v>
      </c>
      <c r="X38" s="1510"/>
      <c r="Y38" s="3695"/>
      <c r="Z38" s="1511">
        <f t="shared" si="15"/>
        <v>111</v>
      </c>
      <c r="AA38" s="1507">
        <f t="shared" si="3"/>
        <v>1</v>
      </c>
      <c r="AB38" s="1507">
        <f t="shared" si="4"/>
        <v>1</v>
      </c>
      <c r="AC38" s="1507">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1"/>
      <c r="M39" s="2013"/>
      <c r="N39" s="2013"/>
      <c r="O39" s="2020"/>
      <c r="P39" s="3695"/>
      <c r="Q39" s="1503">
        <f t="shared" si="11"/>
        <v>111</v>
      </c>
      <c r="R39" s="1504" t="s">
        <v>8</v>
      </c>
      <c r="S39" s="1505">
        <f t="shared" si="12"/>
        <v>100</v>
      </c>
      <c r="T39" s="1504" t="s">
        <v>8</v>
      </c>
      <c r="U39" s="1505">
        <f t="shared" si="13"/>
        <v>100</v>
      </c>
      <c r="V39" s="1504" t="s">
        <v>8</v>
      </c>
      <c r="W39" s="1505">
        <f t="shared" si="14"/>
        <v>100</v>
      </c>
      <c r="X39" s="1498"/>
      <c r="Y39" s="3695"/>
      <c r="Z39" s="1506">
        <f t="shared" si="15"/>
        <v>111</v>
      </c>
      <c r="AA39" s="1507">
        <f t="shared" si="3"/>
        <v>1</v>
      </c>
      <c r="AB39" s="1507">
        <f t="shared" si="4"/>
        <v>1</v>
      </c>
      <c r="AC39" s="1507">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1"/>
      <c r="M40" s="2013"/>
      <c r="N40" s="2013"/>
      <c r="O40" s="2020"/>
      <c r="P40" s="3754"/>
      <c r="Q40" s="1503">
        <f t="shared" si="11"/>
        <v>111</v>
      </c>
      <c r="R40" s="1504" t="s">
        <v>8</v>
      </c>
      <c r="S40" s="1505">
        <f t="shared" si="12"/>
        <v>100</v>
      </c>
      <c r="T40" s="1504" t="s">
        <v>8</v>
      </c>
      <c r="U40" s="1505">
        <f t="shared" si="13"/>
        <v>100</v>
      </c>
      <c r="V40" s="1504" t="s">
        <v>8</v>
      </c>
      <c r="W40" s="1505">
        <f t="shared" si="14"/>
        <v>100</v>
      </c>
      <c r="X40" s="1498"/>
      <c r="Y40" s="3754"/>
      <c r="Z40" s="1506">
        <f t="shared" si="15"/>
        <v>111</v>
      </c>
      <c r="AA40" s="1507">
        <f t="shared" si="3"/>
        <v>1</v>
      </c>
      <c r="AB40" s="1507">
        <f t="shared" si="4"/>
        <v>1</v>
      </c>
      <c r="AC40" s="1507">
        <f t="shared" si="5"/>
        <v>1</v>
      </c>
    </row>
    <row r="41" spans="1:29" ht="15">
      <c r="A41" s="601" t="s">
        <v>730</v>
      </c>
      <c r="B41" s="876"/>
      <c r="C41" s="2467" t="s">
        <v>1</v>
      </c>
      <c r="D41" s="2468"/>
      <c r="E41" s="2469"/>
      <c r="F41" s="2470"/>
      <c r="G41" s="2471"/>
      <c r="H41" s="2472"/>
      <c r="I41" s="2469"/>
      <c r="J41" s="2472"/>
      <c r="K41" s="1537"/>
      <c r="L41" s="2023"/>
      <c r="M41" s="2024"/>
      <c r="N41" s="2013"/>
      <c r="O41" s="2024"/>
      <c r="P41" s="3658" t="str">
        <f>A41</f>
        <v>成交单价（元/平方米）</v>
      </c>
      <c r="Q41" s="3658"/>
      <c r="R41" s="3753">
        <f>E41</f>
        <v>0</v>
      </c>
      <c r="S41" s="3753"/>
      <c r="T41" s="3753">
        <f>G41</f>
        <v>0</v>
      </c>
      <c r="U41" s="3753"/>
      <c r="V41" s="3753">
        <f>I41</f>
        <v>0</v>
      </c>
      <c r="W41" s="3753"/>
      <c r="X41" s="1493"/>
      <c r="Y41" s="1512"/>
      <c r="Z41" s="1493"/>
      <c r="AA41" s="1493"/>
      <c r="AB41" s="1493"/>
      <c r="AC41" s="1493"/>
    </row>
    <row r="42" spans="1:29" ht="15.75" thickBot="1">
      <c r="A42" s="609" t="s">
        <v>2737</v>
      </c>
      <c r="B42" s="877"/>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58" t="str">
        <f>A42</f>
        <v>比较价格（元/平方米）</v>
      </c>
      <c r="Q42" s="3658"/>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493"/>
      <c r="Y42" s="1493"/>
      <c r="Z42" s="1493"/>
      <c r="AA42" s="1493"/>
      <c r="AB42" s="1493"/>
      <c r="AC42" s="1493"/>
    </row>
    <row r="43" spans="1:29" ht="15.75" thickBot="1">
      <c r="A43" s="613" t="s">
        <v>2896</v>
      </c>
      <c r="B43" s="614"/>
      <c r="C43" s="2475" t="e">
        <f>R43</f>
        <v>#DIV/0!</v>
      </c>
      <c r="D43" s="2475"/>
      <c r="E43" s="2475"/>
      <c r="F43" s="2475"/>
      <c r="G43" s="2475"/>
      <c r="H43" s="2475"/>
      <c r="I43" s="2475"/>
      <c r="J43" s="2475"/>
      <c r="K43" s="1538"/>
      <c r="L43" s="2023"/>
      <c r="M43" s="2024"/>
      <c r="N43" s="2024"/>
      <c r="O43" s="2024"/>
      <c r="P43" s="3655" t="str">
        <f>A43</f>
        <v>估价对象XX用房的比较价格（楼面单价，元/平方米）</v>
      </c>
      <c r="Q43" s="3656"/>
      <c r="R43" s="3752" t="e">
        <f>IF(F1="售价",ROUND(IF(D42="简单平均",AVERAGE(R42:V42),R42*F42+T42*H42+V42*J42),0),ROUND(IF(D42="简单平均",AVERAGE(R42:V42),R42*F42+T42*H42+V42*J42),1))</f>
        <v>#DIV/0!</v>
      </c>
      <c r="S43" s="3752"/>
      <c r="T43" s="3752"/>
      <c r="U43" s="3752"/>
      <c r="V43" s="3752"/>
      <c r="W43" s="3752"/>
      <c r="X43" s="1493"/>
      <c r="Y43" s="1493"/>
      <c r="Z43" s="1493"/>
      <c r="AA43" s="1493"/>
      <c r="AB43" s="1493"/>
      <c r="AC43" s="1493"/>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568</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7" t="s">
        <v>523</v>
      </c>
      <c r="B52" s="638"/>
      <c r="C52" s="2516" t="str">
        <f>YEAR(C7)&amp;"-"&amp;MONTH(C7)</f>
        <v>2021-6</v>
      </c>
      <c r="D52" s="2518">
        <f>EDATE(C52,-1)</f>
        <v>44317</v>
      </c>
      <c r="E52" s="2518">
        <f t="shared" ref="E52:O52" si="16">EDATE(D52,-1)</f>
        <v>44287</v>
      </c>
      <c r="F52" s="2518">
        <f t="shared" si="16"/>
        <v>44256</v>
      </c>
      <c r="G52" s="2518">
        <f t="shared" si="16"/>
        <v>44228</v>
      </c>
      <c r="H52" s="2518">
        <f t="shared" si="16"/>
        <v>44197</v>
      </c>
      <c r="I52" s="2518">
        <f t="shared" si="16"/>
        <v>44166</v>
      </c>
      <c r="J52" s="2518">
        <f t="shared" si="16"/>
        <v>44136</v>
      </c>
      <c r="K52" s="2518">
        <f t="shared" si="16"/>
        <v>44105</v>
      </c>
      <c r="L52" s="2518">
        <f t="shared" si="16"/>
        <v>44075</v>
      </c>
      <c r="M52" s="2518">
        <f t="shared" si="16"/>
        <v>44044</v>
      </c>
      <c r="N52" s="2518">
        <f t="shared" si="16"/>
        <v>44013</v>
      </c>
      <c r="O52" s="2518">
        <f t="shared" si="16"/>
        <v>43983</v>
      </c>
      <c r="P52" s="2038"/>
      <c r="Q52" s="2039"/>
      <c r="R52" s="2039"/>
      <c r="S52" s="2039"/>
      <c r="T52" s="2039"/>
      <c r="U52" s="2039"/>
      <c r="V52" s="2039"/>
      <c r="W52" s="2039"/>
      <c r="X52" s="2039"/>
      <c r="Y52" s="2039"/>
      <c r="Z52" s="2039"/>
      <c r="AA52" s="2039"/>
      <c r="AB52" s="2039"/>
      <c r="AC52" s="2039"/>
    </row>
    <row r="53" spans="1:29" s="1201" customFormat="1" ht="15">
      <c r="A53" s="639"/>
      <c r="B53" s="640"/>
      <c r="C53" s="641">
        <v>100</v>
      </c>
      <c r="D53" s="642"/>
      <c r="E53" s="642"/>
      <c r="F53" s="642"/>
      <c r="G53" s="642"/>
      <c r="H53" s="642"/>
      <c r="I53" s="642"/>
      <c r="J53" s="642"/>
      <c r="K53" s="642"/>
      <c r="L53" s="642"/>
      <c r="M53" s="643"/>
      <c r="N53" s="642"/>
      <c r="O53" s="644"/>
      <c r="P53" s="2036"/>
      <c r="Q53" s="1902"/>
      <c r="R53" s="1902"/>
      <c r="S53" s="1902"/>
      <c r="T53" s="1902"/>
      <c r="U53" s="1902"/>
      <c r="V53" s="1902"/>
      <c r="W53" s="1902"/>
      <c r="X53" s="1902"/>
      <c r="Y53" s="1902"/>
      <c r="Z53" s="1902"/>
      <c r="AA53" s="1902"/>
      <c r="AB53" s="1902"/>
      <c r="AC53" s="1902"/>
    </row>
    <row r="54" spans="1:29" s="1201" customFormat="1" ht="15.75" thickBot="1">
      <c r="A54" s="645" t="s">
        <v>569</v>
      </c>
      <c r="B54" s="646"/>
      <c r="C54" s="647"/>
      <c r="D54" s="648"/>
      <c r="E54" s="648"/>
      <c r="F54" s="648"/>
      <c r="G54" s="648"/>
      <c r="H54" s="648"/>
      <c r="I54" s="648"/>
      <c r="J54" s="648"/>
      <c r="K54" s="648"/>
      <c r="L54" s="648"/>
      <c r="M54" s="649"/>
      <c r="N54" s="648"/>
      <c r="O54" s="650"/>
      <c r="P54" s="2036"/>
      <c r="Q54" s="2036"/>
      <c r="R54" s="1902"/>
      <c r="S54" s="1902"/>
      <c r="T54" s="1902"/>
      <c r="U54" s="1902"/>
      <c r="V54" s="1902"/>
      <c r="W54" s="1902"/>
      <c r="X54" s="1902"/>
      <c r="Y54" s="1902"/>
      <c r="Z54" s="1902"/>
      <c r="AA54" s="1902"/>
      <c r="AB54" s="1902"/>
      <c r="AC54" s="1902"/>
    </row>
    <row r="55" spans="1:29" s="1201" customFormat="1" ht="15">
      <c r="A55" s="651" t="s">
        <v>525</v>
      </c>
      <c r="B55" s="640"/>
      <c r="C55" s="652" t="s">
        <v>570</v>
      </c>
      <c r="D55" s="653"/>
      <c r="E55" s="653"/>
      <c r="F55" s="653"/>
      <c r="G55" s="653"/>
      <c r="H55" s="653"/>
      <c r="I55" s="653"/>
      <c r="J55" s="653"/>
      <c r="K55" s="653"/>
      <c r="L55" s="654"/>
      <c r="M55" s="655"/>
      <c r="N55" s="2040"/>
      <c r="O55" s="2040"/>
      <c r="P55" s="2041"/>
      <c r="Q55" s="2036"/>
      <c r="R55" s="1902"/>
      <c r="S55" s="1902"/>
      <c r="T55" s="1902"/>
      <c r="U55" s="1902"/>
      <c r="V55" s="1902"/>
      <c r="W55" s="1902"/>
      <c r="X55" s="1902"/>
      <c r="Y55" s="1902"/>
      <c r="Z55" s="1902"/>
      <c r="AA55" s="1902"/>
      <c r="AB55" s="1902"/>
      <c r="AC55" s="1902"/>
    </row>
    <row r="56" spans="1:29" s="1201" customFormat="1" ht="15.75" thickBot="1">
      <c r="A56" s="651"/>
      <c r="B56" s="640"/>
      <c r="C56" s="641">
        <v>100</v>
      </c>
      <c r="D56" s="642"/>
      <c r="E56" s="642"/>
      <c r="F56" s="642"/>
      <c r="G56" s="642"/>
      <c r="H56" s="642"/>
      <c r="I56" s="642"/>
      <c r="J56" s="642"/>
      <c r="K56" s="642"/>
      <c r="L56" s="642"/>
      <c r="M56" s="644"/>
      <c r="N56" s="2040"/>
      <c r="O56" s="2040"/>
      <c r="P56" s="2036"/>
      <c r="Q56" s="2036"/>
      <c r="R56" s="1902"/>
      <c r="S56" s="1902"/>
      <c r="T56" s="1902"/>
      <c r="U56" s="1902"/>
      <c r="V56" s="1902"/>
      <c r="W56" s="1902"/>
      <c r="X56" s="1902"/>
      <c r="Y56" s="1902"/>
      <c r="Z56" s="1902"/>
      <c r="AA56" s="1902"/>
      <c r="AB56" s="1902"/>
      <c r="AC56" s="1902"/>
    </row>
    <row r="57" spans="1:29">
      <c r="A57" s="656" t="s">
        <v>571</v>
      </c>
      <c r="B57" s="657" t="s">
        <v>528</v>
      </c>
      <c r="C57" s="696">
        <f>C9</f>
        <v>0</v>
      </c>
      <c r="D57" s="592"/>
      <c r="E57" s="592"/>
      <c r="F57" s="592"/>
      <c r="G57" s="592"/>
      <c r="H57" s="592"/>
      <c r="I57" s="592"/>
      <c r="J57" s="592"/>
      <c r="K57" s="658"/>
      <c r="L57" s="659"/>
      <c r="M57" s="660"/>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63"/>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2"/>
      <c r="O59" s="2042"/>
      <c r="P59" s="2043"/>
      <c r="Q59" s="2036"/>
      <c r="R59" s="2024"/>
      <c r="S59" s="2024"/>
      <c r="T59" s="2024"/>
      <c r="U59" s="2024"/>
      <c r="V59" s="2024"/>
      <c r="W59" s="2024"/>
      <c r="X59" s="2024"/>
      <c r="Y59" s="2024"/>
      <c r="Z59" s="2024"/>
      <c r="AA59" s="2024"/>
      <c r="AB59" s="2024"/>
      <c r="AC59" s="2024"/>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4"/>
      <c r="O60" s="2044"/>
      <c r="P60" s="2043"/>
      <c r="Q60" s="2036"/>
      <c r="R60" s="2024"/>
      <c r="S60" s="2024"/>
      <c r="T60" s="2024"/>
      <c r="U60" s="2024"/>
      <c r="V60" s="2024"/>
      <c r="W60" s="2024"/>
      <c r="X60" s="2024"/>
      <c r="Y60" s="2024"/>
      <c r="Z60" s="2024"/>
      <c r="AA60" s="2024"/>
      <c r="AB60" s="2024"/>
      <c r="AC60" s="2024"/>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1"/>
      <c r="B62" s="675"/>
      <c r="C62" s="535"/>
      <c r="D62" s="535"/>
      <c r="E62" s="535"/>
      <c r="F62" s="535"/>
      <c r="G62" s="535"/>
      <c r="H62" s="535"/>
      <c r="I62" s="535"/>
      <c r="J62" s="535"/>
      <c r="K62" s="676"/>
      <c r="L62" s="677"/>
      <c r="M62" s="678"/>
      <c r="N62" s="2042"/>
      <c r="O62" s="2042"/>
      <c r="P62" s="2043"/>
      <c r="Q62" s="2036"/>
      <c r="R62" s="2024"/>
      <c r="S62" s="2024"/>
      <c r="T62" s="2024"/>
      <c r="U62" s="2024"/>
      <c r="V62" s="2024"/>
      <c r="W62" s="2024"/>
      <c r="X62" s="2024"/>
      <c r="Y62" s="2024"/>
      <c r="Z62" s="2024"/>
      <c r="AA62" s="2024"/>
      <c r="AB62" s="2024"/>
      <c r="AC62" s="2024"/>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9"/>
      <c r="B64" s="665">
        <f>B12</f>
        <v>111</v>
      </c>
      <c r="C64" s="680"/>
      <c r="D64" s="680"/>
      <c r="E64" s="680"/>
      <c r="F64" s="680"/>
      <c r="G64" s="680"/>
      <c r="H64" s="681"/>
      <c r="I64" s="681"/>
      <c r="J64" s="681"/>
      <c r="K64" s="681"/>
      <c r="L64" s="682"/>
      <c r="M64" s="683"/>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9"/>
      <c r="B65" s="670"/>
      <c r="C65" s="684"/>
      <c r="D65" s="663"/>
      <c r="E65" s="663"/>
      <c r="F65" s="663"/>
      <c r="G65" s="663"/>
      <c r="H65" s="663"/>
      <c r="I65" s="663"/>
      <c r="J65" s="663"/>
      <c r="K65" s="663"/>
      <c r="L65" s="663"/>
      <c r="M65" s="664"/>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9"/>
      <c r="B66" s="665">
        <f>B13</f>
        <v>111</v>
      </c>
      <c r="C66" s="680"/>
      <c r="D66" s="680"/>
      <c r="E66" s="680"/>
      <c r="F66" s="680"/>
      <c r="G66" s="680"/>
      <c r="H66" s="681"/>
      <c r="I66" s="681"/>
      <c r="J66" s="681"/>
      <c r="K66" s="681"/>
      <c r="L66" s="682"/>
      <c r="M66" s="683"/>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9"/>
      <c r="B67" s="670"/>
      <c r="C67" s="684"/>
      <c r="D67" s="663"/>
      <c r="E67" s="663"/>
      <c r="F67" s="663"/>
      <c r="G67" s="684"/>
      <c r="H67" s="685"/>
      <c r="I67" s="685"/>
      <c r="J67" s="685"/>
      <c r="K67" s="685"/>
      <c r="L67" s="685"/>
      <c r="M67" s="686"/>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9"/>
      <c r="B68" s="673">
        <f>B14</f>
        <v>111</v>
      </c>
      <c r="C68" s="653"/>
      <c r="D68" s="653"/>
      <c r="E68" s="653"/>
      <c r="F68" s="653"/>
      <c r="G68" s="653"/>
      <c r="H68" s="687"/>
      <c r="I68" s="687"/>
      <c r="J68" s="687"/>
      <c r="K68" s="687"/>
      <c r="L68" s="688"/>
      <c r="M68" s="689"/>
      <c r="N68" s="2045"/>
      <c r="O68" s="2045"/>
      <c r="P68" s="2051"/>
      <c r="Q68" s="2047"/>
      <c r="R68" s="2048"/>
      <c r="S68" s="2048"/>
      <c r="T68" s="2048"/>
      <c r="U68" s="2048"/>
      <c r="V68" s="2048"/>
      <c r="W68" s="2048"/>
      <c r="X68" s="2048"/>
      <c r="Y68" s="2048"/>
      <c r="Z68" s="2048"/>
      <c r="AA68" s="2048"/>
      <c r="AB68" s="2048"/>
      <c r="AC68" s="2048"/>
    </row>
    <row r="69" spans="1:29" s="1291" customFormat="1" ht="15.75" thickBot="1">
      <c r="A69" s="690"/>
      <c r="B69" s="691"/>
      <c r="C69" s="692"/>
      <c r="D69" s="692"/>
      <c r="E69" s="692"/>
      <c r="F69" s="692"/>
      <c r="G69" s="692"/>
      <c r="H69" s="693"/>
      <c r="I69" s="693"/>
      <c r="J69" s="693"/>
      <c r="K69" s="693"/>
      <c r="L69" s="693"/>
      <c r="M69" s="694"/>
      <c r="N69" s="2045"/>
      <c r="O69" s="2045"/>
      <c r="P69" s="2046"/>
      <c r="Q69" s="2047"/>
      <c r="R69" s="2048"/>
      <c r="S69" s="2048"/>
      <c r="T69" s="2048"/>
      <c r="U69" s="2048"/>
      <c r="V69" s="2048"/>
      <c r="W69" s="2048"/>
      <c r="X69" s="2048"/>
      <c r="Y69" s="2048"/>
      <c r="Z69" s="2048"/>
      <c r="AA69" s="2048"/>
      <c r="AB69" s="2048"/>
      <c r="AC69" s="2048"/>
    </row>
    <row r="70" spans="1:29">
      <c r="A70" s="656" t="s">
        <v>533</v>
      </c>
      <c r="B70" s="657" t="s">
        <v>579</v>
      </c>
      <c r="C70" s="695" t="s">
        <v>573</v>
      </c>
      <c r="D70" s="695" t="s">
        <v>574</v>
      </c>
      <c r="E70" s="695" t="s">
        <v>575</v>
      </c>
      <c r="F70" s="695" t="s">
        <v>576</v>
      </c>
      <c r="G70" s="695" t="s">
        <v>577</v>
      </c>
      <c r="H70" s="696"/>
      <c r="I70" s="696"/>
      <c r="J70" s="696"/>
      <c r="K70" s="697"/>
      <c r="L70" s="698"/>
      <c r="M70" s="699"/>
      <c r="N70" s="2042"/>
      <c r="O70" s="2042"/>
      <c r="P70" s="2052"/>
      <c r="Q70" s="2036"/>
      <c r="R70" s="2024"/>
      <c r="S70" s="2024"/>
      <c r="T70" s="2024"/>
      <c r="U70" s="2024"/>
      <c r="V70" s="2024"/>
      <c r="W70" s="2024"/>
      <c r="X70" s="2024"/>
      <c r="Y70" s="2024"/>
      <c r="Z70" s="2024"/>
      <c r="AA70" s="2024"/>
      <c r="AB70" s="2024"/>
      <c r="AC70" s="2024"/>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4"/>
      <c r="O71" s="2044"/>
      <c r="P71" s="2043"/>
      <c r="Q71" s="2036"/>
      <c r="R71" s="2024"/>
      <c r="S71" s="2024"/>
      <c r="T71" s="2024"/>
      <c r="U71" s="2024"/>
      <c r="V71" s="2024"/>
      <c r="W71" s="2024"/>
      <c r="X71" s="2024"/>
      <c r="Y71" s="2024"/>
      <c r="Z71" s="2024"/>
      <c r="AA71" s="2024"/>
      <c r="AB71" s="2024"/>
      <c r="AC71" s="2024"/>
    </row>
    <row r="72" spans="1:29" ht="15.75" thickTop="1">
      <c r="A72" s="661"/>
      <c r="B72" s="665" t="s">
        <v>580</v>
      </c>
      <c r="C72" s="700" t="s">
        <v>573</v>
      </c>
      <c r="D72" s="700" t="s">
        <v>574</v>
      </c>
      <c r="E72" s="700" t="s">
        <v>575</v>
      </c>
      <c r="F72" s="700" t="s">
        <v>576</v>
      </c>
      <c r="G72" s="700" t="s">
        <v>577</v>
      </c>
      <c r="H72" s="666"/>
      <c r="I72" s="666"/>
      <c r="J72" s="666"/>
      <c r="K72" s="667"/>
      <c r="L72" s="668"/>
      <c r="M72" s="669"/>
      <c r="N72" s="2042"/>
      <c r="O72" s="2042"/>
      <c r="P72" s="2043"/>
      <c r="Q72" s="2036"/>
      <c r="R72" s="2024"/>
      <c r="S72" s="2024"/>
      <c r="T72" s="2024"/>
      <c r="U72" s="2024"/>
      <c r="V72" s="2024"/>
      <c r="W72" s="2024"/>
      <c r="X72" s="2024"/>
      <c r="Y72" s="2024"/>
      <c r="Z72" s="2024"/>
      <c r="AA72" s="2024"/>
      <c r="AB72" s="2024"/>
      <c r="AC72" s="2024"/>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4"/>
      <c r="O73" s="2044"/>
      <c r="P73" s="2043"/>
      <c r="Q73" s="2036"/>
      <c r="R73" s="2024"/>
      <c r="S73" s="2024"/>
      <c r="T73" s="2024"/>
      <c r="U73" s="2024"/>
      <c r="V73" s="2024"/>
      <c r="W73" s="2024"/>
      <c r="X73" s="2024"/>
      <c r="Y73" s="2024"/>
      <c r="Z73" s="2024"/>
      <c r="AA73" s="2024"/>
      <c r="AB73" s="2024"/>
      <c r="AC73" s="2024"/>
    </row>
    <row r="74" spans="1:29" ht="15.75" thickTop="1">
      <c r="A74" s="661"/>
      <c r="B74" s="1807" t="s">
        <v>2536</v>
      </c>
      <c r="C74" s="700" t="s">
        <v>573</v>
      </c>
      <c r="D74" s="700" t="s">
        <v>574</v>
      </c>
      <c r="E74" s="700" t="s">
        <v>575</v>
      </c>
      <c r="F74" s="700" t="s">
        <v>576</v>
      </c>
      <c r="G74" s="700" t="s">
        <v>577</v>
      </c>
      <c r="H74" s="666"/>
      <c r="I74" s="666"/>
      <c r="J74" s="666"/>
      <c r="K74" s="667"/>
      <c r="L74" s="668"/>
      <c r="M74" s="669"/>
      <c r="N74" s="2042"/>
      <c r="O74" s="2042"/>
      <c r="P74" s="2043"/>
      <c r="Q74" s="2036"/>
      <c r="R74" s="2024"/>
      <c r="S74" s="2024"/>
      <c r="T74" s="2024"/>
      <c r="U74" s="2024"/>
      <c r="V74" s="2024"/>
      <c r="W74" s="2024"/>
      <c r="X74" s="2024"/>
      <c r="Y74" s="2024"/>
      <c r="Z74" s="2024"/>
      <c r="AA74" s="2024"/>
      <c r="AB74" s="2024"/>
      <c r="AC74" s="2024"/>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4"/>
      <c r="O75" s="2044"/>
      <c r="P75" s="2043"/>
      <c r="Q75" s="2036"/>
      <c r="R75" s="2024"/>
      <c r="S75" s="2024"/>
      <c r="T75" s="2024"/>
      <c r="U75" s="2024"/>
      <c r="V75" s="2024"/>
      <c r="W75" s="2024"/>
      <c r="X75" s="2024"/>
      <c r="Y75" s="2024"/>
      <c r="Z75" s="2024"/>
      <c r="AA75" s="2024"/>
      <c r="AB75" s="2024"/>
      <c r="AC75" s="2024"/>
    </row>
    <row r="76" spans="1:29" ht="15.75" thickTop="1">
      <c r="A76" s="661"/>
      <c r="B76" s="2438" t="s">
        <v>2537</v>
      </c>
      <c r="C76" s="2439" t="s">
        <v>2538</v>
      </c>
      <c r="D76" s="2439" t="s">
        <v>2539</v>
      </c>
      <c r="E76" s="2439" t="s">
        <v>2540</v>
      </c>
      <c r="F76" s="2439" t="s">
        <v>2541</v>
      </c>
      <c r="G76" s="2439" t="s">
        <v>2542</v>
      </c>
      <c r="H76" s="923"/>
      <c r="I76" s="923"/>
      <c r="J76" s="923"/>
      <c r="K76" s="923"/>
      <c r="L76" s="923"/>
      <c r="M76" s="553"/>
      <c r="N76" s="2044"/>
      <c r="O76" s="2044"/>
      <c r="P76" s="2043"/>
      <c r="Q76" s="2036"/>
      <c r="R76" s="2024"/>
      <c r="S76" s="2024"/>
      <c r="T76" s="2024"/>
      <c r="U76" s="2024"/>
      <c r="V76" s="2024"/>
      <c r="W76" s="2024"/>
      <c r="X76" s="2024"/>
      <c r="Y76" s="2024"/>
      <c r="Z76" s="2024"/>
      <c r="AA76" s="2024"/>
      <c r="AB76" s="2024"/>
      <c r="AC76" s="2024"/>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778</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s="1201" customFormat="1" ht="15.75" thickTop="1">
      <c r="A80" s="701"/>
      <c r="B80" s="665">
        <f>B25</f>
        <v>111</v>
      </c>
      <c r="C80" s="680"/>
      <c r="D80" s="680"/>
      <c r="E80" s="680"/>
      <c r="F80" s="680"/>
      <c r="G80" s="680"/>
      <c r="H80" s="680"/>
      <c r="I80" s="680"/>
      <c r="J80" s="680"/>
      <c r="K80" s="680"/>
      <c r="L80" s="879"/>
      <c r="M80" s="880"/>
      <c r="N80" s="2040"/>
      <c r="O80" s="2040"/>
      <c r="P80" s="2043"/>
      <c r="Q80" s="2036"/>
      <c r="R80" s="1902"/>
      <c r="S80" s="1902"/>
      <c r="T80" s="1902"/>
      <c r="U80" s="1902"/>
      <c r="V80" s="1902"/>
      <c r="W80" s="1902"/>
      <c r="X80" s="1902"/>
      <c r="Y80" s="1902"/>
      <c r="Z80" s="1902"/>
      <c r="AA80" s="1902"/>
      <c r="AB80" s="1902"/>
      <c r="AC80" s="1902"/>
    </row>
    <row r="81" spans="1:29" s="1201" customFormat="1" ht="15.75" thickBot="1">
      <c r="A81" s="701"/>
      <c r="B81" s="670"/>
      <c r="C81" s="684"/>
      <c r="D81" s="663"/>
      <c r="E81" s="663"/>
      <c r="F81" s="663"/>
      <c r="G81" s="663"/>
      <c r="H81" s="663"/>
      <c r="I81" s="663"/>
      <c r="J81" s="663"/>
      <c r="K81" s="663"/>
      <c r="L81" s="663"/>
      <c r="M81" s="664"/>
      <c r="N81" s="2044"/>
      <c r="O81" s="2044"/>
      <c r="P81" s="2043"/>
      <c r="Q81" s="2036"/>
      <c r="R81" s="1902"/>
      <c r="S81" s="1902"/>
      <c r="T81" s="1902"/>
      <c r="U81" s="1902"/>
      <c r="V81" s="1902"/>
      <c r="W81" s="1902"/>
      <c r="X81" s="1902"/>
      <c r="Y81" s="1902"/>
      <c r="Z81" s="1902"/>
      <c r="AA81" s="1902"/>
      <c r="AB81" s="1902"/>
      <c r="AC81" s="1902"/>
    </row>
    <row r="82" spans="1:29" s="1201" customFormat="1" ht="15.75" thickTop="1">
      <c r="A82" s="701"/>
      <c r="B82" s="665">
        <f>B26</f>
        <v>111</v>
      </c>
      <c r="C82" s="680"/>
      <c r="D82" s="680"/>
      <c r="E82" s="680"/>
      <c r="F82" s="680"/>
      <c r="G82" s="680"/>
      <c r="H82" s="680"/>
      <c r="I82" s="680"/>
      <c r="J82" s="680"/>
      <c r="K82" s="680"/>
      <c r="L82" s="879"/>
      <c r="M82" s="880"/>
      <c r="N82" s="2040"/>
      <c r="O82" s="2040"/>
      <c r="P82" s="2043"/>
      <c r="Q82" s="2036"/>
      <c r="R82" s="1902"/>
      <c r="S82" s="1902"/>
      <c r="T82" s="1902"/>
      <c r="U82" s="1902"/>
      <c r="V82" s="1902"/>
      <c r="W82" s="1902"/>
      <c r="X82" s="1902"/>
      <c r="Y82" s="1902"/>
      <c r="Z82" s="1902"/>
      <c r="AA82" s="1902"/>
      <c r="AB82" s="1902"/>
      <c r="AC82" s="1902"/>
    </row>
    <row r="83" spans="1:29" s="1201" customFormat="1" ht="15.75" thickBot="1">
      <c r="A83" s="701"/>
      <c r="B83" s="670"/>
      <c r="C83" s="684"/>
      <c r="D83" s="663"/>
      <c r="E83" s="663"/>
      <c r="F83" s="663"/>
      <c r="G83" s="663"/>
      <c r="H83" s="663"/>
      <c r="I83" s="663"/>
      <c r="J83" s="663"/>
      <c r="K83" s="663"/>
      <c r="L83" s="663"/>
      <c r="M83" s="664"/>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9"/>
      <c r="B84" s="665">
        <f>B27</f>
        <v>111</v>
      </c>
      <c r="C84" s="680"/>
      <c r="D84" s="680"/>
      <c r="E84" s="680"/>
      <c r="F84" s="680"/>
      <c r="G84" s="680"/>
      <c r="H84" s="680"/>
      <c r="I84" s="680"/>
      <c r="J84" s="680"/>
      <c r="K84" s="680"/>
      <c r="L84" s="879"/>
      <c r="M84" s="880"/>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5"/>
      <c r="O85" s="2045"/>
      <c r="P85" s="2046"/>
      <c r="Q85" s="2047"/>
      <c r="R85" s="2048"/>
      <c r="S85" s="2048"/>
      <c r="T85" s="2048"/>
      <c r="U85" s="2048"/>
      <c r="V85" s="2048"/>
      <c r="W85" s="2048"/>
      <c r="X85" s="2048"/>
      <c r="Y85" s="2048"/>
      <c r="Z85" s="2048"/>
      <c r="AA85" s="2048"/>
      <c r="AB85" s="2048"/>
      <c r="AC85" s="2048"/>
    </row>
    <row r="86" spans="1:29" ht="15.75" thickTop="1">
      <c r="A86" s="661"/>
      <c r="B86" s="673">
        <f>B28</f>
        <v>111</v>
      </c>
      <c r="C86" s="653"/>
      <c r="D86" s="653"/>
      <c r="E86" s="653"/>
      <c r="F86" s="653"/>
      <c r="G86" s="714"/>
      <c r="H86" s="714"/>
      <c r="I86" s="714"/>
      <c r="J86" s="714"/>
      <c r="K86" s="715"/>
      <c r="L86" s="716"/>
      <c r="M86" s="717"/>
      <c r="N86" s="2042"/>
      <c r="O86" s="2042"/>
      <c r="P86" s="2043"/>
      <c r="Q86" s="2036"/>
      <c r="R86" s="2024"/>
      <c r="S86" s="2024"/>
      <c r="T86" s="2024"/>
      <c r="U86" s="2024"/>
      <c r="V86" s="2024"/>
      <c r="W86" s="2024"/>
      <c r="X86" s="2024"/>
      <c r="Y86" s="2024"/>
      <c r="Z86" s="2024"/>
      <c r="AA86" s="2024"/>
      <c r="AB86" s="2024"/>
      <c r="AC86" s="2024"/>
    </row>
    <row r="87" spans="1:29" ht="15.75" thickBot="1">
      <c r="A87" s="882"/>
      <c r="B87" s="691"/>
      <c r="C87" s="692"/>
      <c r="D87" s="692"/>
      <c r="E87" s="692"/>
      <c r="F87" s="692"/>
      <c r="G87" s="718"/>
      <c r="H87" s="718"/>
      <c r="I87" s="718"/>
      <c r="J87" s="718"/>
      <c r="K87" s="718"/>
      <c r="L87" s="718"/>
      <c r="M87" s="719"/>
      <c r="N87" s="2044"/>
      <c r="O87" s="2044"/>
      <c r="P87" s="2043"/>
      <c r="Q87" s="2036"/>
      <c r="R87" s="2024"/>
      <c r="S87" s="2024"/>
      <c r="T87" s="2024"/>
      <c r="U87" s="2024"/>
      <c r="V87" s="2024"/>
      <c r="W87" s="2024"/>
      <c r="X87" s="2024"/>
      <c r="Y87" s="2024"/>
      <c r="Z87" s="2024"/>
      <c r="AA87" s="2024"/>
      <c r="AB87" s="2024"/>
      <c r="AC87" s="2024"/>
    </row>
    <row r="88" spans="1:29">
      <c r="A88" s="656" t="s">
        <v>545</v>
      </c>
      <c r="B88" s="657" t="s">
        <v>741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20"/>
      <c r="B91" s="721"/>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4"/>
      <c r="O92" s="2044"/>
      <c r="P92" s="2046"/>
      <c r="Q92" s="2047"/>
      <c r="R92" s="2048"/>
      <c r="S92" s="2048"/>
      <c r="T92" s="2048"/>
      <c r="U92" s="2048"/>
      <c r="V92" s="2048"/>
      <c r="W92" s="2048"/>
      <c r="X92" s="2048"/>
      <c r="Y92" s="2048"/>
      <c r="Z92" s="2048"/>
      <c r="AA92" s="2048"/>
      <c r="AB92" s="2048"/>
      <c r="AC92" s="2048"/>
    </row>
    <row r="93" spans="1:29" ht="15" thickTop="1">
      <c r="A93" s="727"/>
      <c r="B93" s="665" t="s">
        <v>743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745</v>
      </c>
      <c r="C95" s="680"/>
      <c r="D95" s="680"/>
      <c r="E95" s="680"/>
      <c r="F95" s="710"/>
      <c r="G95" s="710"/>
      <c r="H95" s="710"/>
      <c r="I95" s="710"/>
      <c r="J95" s="710"/>
      <c r="K95" s="711"/>
      <c r="L95" s="712"/>
      <c r="M95" s="713"/>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2"/>
      <c r="O97" s="2042"/>
      <c r="P97" s="2043"/>
      <c r="Q97" s="2036"/>
      <c r="R97" s="2024"/>
      <c r="S97" s="2024"/>
      <c r="T97" s="2024"/>
      <c r="U97" s="2024"/>
      <c r="V97" s="2024"/>
      <c r="W97" s="2024"/>
      <c r="X97" s="2024"/>
      <c r="Y97" s="2024"/>
      <c r="Z97" s="2024"/>
      <c r="AA97" s="2024"/>
      <c r="AB97" s="2024"/>
      <c r="AC97" s="2024"/>
    </row>
    <row r="98" spans="1:29">
      <c r="A98" s="727"/>
      <c r="B98" s="673"/>
      <c r="C98" s="883">
        <v>0.5</v>
      </c>
      <c r="D98" s="883">
        <v>0.6</v>
      </c>
      <c r="E98" s="883">
        <v>0.7</v>
      </c>
      <c r="F98" s="883">
        <v>0.8</v>
      </c>
      <c r="G98" s="883">
        <v>0.9</v>
      </c>
      <c r="H98" s="883">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20"/>
      <c r="B100" s="665" t="s">
        <v>747</v>
      </c>
      <c r="C100" s="680"/>
      <c r="D100" s="680"/>
      <c r="E100" s="680"/>
      <c r="F100" s="680"/>
      <c r="G100" s="680"/>
      <c r="H100" s="710"/>
      <c r="I100" s="710"/>
      <c r="J100" s="710"/>
      <c r="K100" s="711"/>
      <c r="L100" s="712"/>
      <c r="M100" s="713"/>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7"/>
      <c r="B102" s="1807" t="s">
        <v>2535</v>
      </c>
      <c r="C102" s="680"/>
      <c r="D102" s="680"/>
      <c r="E102" s="680"/>
      <c r="F102" s="680"/>
      <c r="G102" s="680"/>
      <c r="H102" s="710"/>
      <c r="I102" s="710"/>
      <c r="J102" s="710"/>
      <c r="K102" s="711"/>
      <c r="L102" s="712"/>
      <c r="M102" s="713"/>
      <c r="N102" s="2042"/>
      <c r="O102" s="2042"/>
      <c r="P102" s="2043"/>
      <c r="Q102" s="2036"/>
      <c r="R102" s="2024"/>
      <c r="S102" s="2024"/>
      <c r="T102" s="2024"/>
      <c r="U102" s="2024"/>
      <c r="V102" s="2024"/>
      <c r="W102" s="2024"/>
      <c r="X102" s="2024"/>
      <c r="Y102" s="2024"/>
      <c r="Z102" s="2024"/>
      <c r="AA102" s="2024"/>
      <c r="AB102" s="2024"/>
      <c r="AC102" s="2024"/>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7"/>
      <c r="B104" s="665" t="s">
        <v>749</v>
      </c>
      <c r="C104" s="680"/>
      <c r="D104" s="680"/>
      <c r="E104" s="680"/>
      <c r="F104" s="680"/>
      <c r="G104" s="680"/>
      <c r="H104" s="710"/>
      <c r="I104" s="710"/>
      <c r="J104" s="710"/>
      <c r="K104" s="711"/>
      <c r="L104" s="712"/>
      <c r="M104" s="713"/>
      <c r="N104" s="2042"/>
      <c r="O104" s="2042"/>
      <c r="P104" s="2043"/>
      <c r="Q104" s="2036"/>
      <c r="R104" s="2024"/>
      <c r="S104" s="2024"/>
      <c r="T104" s="2024"/>
      <c r="U104" s="2024"/>
      <c r="V104" s="2024"/>
      <c r="W104" s="2024"/>
      <c r="X104" s="2024"/>
      <c r="Y104" s="2024"/>
      <c r="Z104" s="2024"/>
      <c r="AA104" s="2024"/>
      <c r="AB104" s="2024"/>
      <c r="AC104" s="2024"/>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4"/>
      <c r="O105" s="2044"/>
      <c r="P105" s="2043"/>
      <c r="Q105" s="2036"/>
      <c r="R105" s="2024"/>
      <c r="S105" s="2024"/>
      <c r="T105" s="2024"/>
      <c r="U105" s="2024"/>
      <c r="V105" s="2024"/>
      <c r="W105" s="2024"/>
      <c r="X105" s="2024"/>
      <c r="Y105" s="2024"/>
      <c r="Z105" s="2024"/>
      <c r="AA105" s="2024"/>
      <c r="AB105" s="2024"/>
      <c r="AC105" s="2024"/>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4"/>
      <c r="O106" s="2044"/>
      <c r="P106" s="2083"/>
      <c r="Q106" s="2084"/>
      <c r="R106" s="2024"/>
      <c r="S106" s="2024"/>
      <c r="T106" s="2024"/>
      <c r="U106" s="2024"/>
      <c r="V106" s="2024"/>
      <c r="W106" s="2024"/>
      <c r="X106" s="2024"/>
      <c r="Y106" s="2024"/>
      <c r="Z106" s="2024"/>
      <c r="AA106" s="2024"/>
      <c r="AB106" s="2024"/>
      <c r="AC106" s="2024"/>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20"/>
      <c r="B108" s="665">
        <f>B38</f>
        <v>111</v>
      </c>
      <c r="C108" s="680"/>
      <c r="D108" s="680"/>
      <c r="E108" s="680"/>
      <c r="F108" s="680"/>
      <c r="G108" s="680"/>
      <c r="H108" s="681"/>
      <c r="I108" s="681"/>
      <c r="J108" s="681"/>
      <c r="K108" s="681"/>
      <c r="L108" s="682"/>
      <c r="M108" s="683"/>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9"/>
      <c r="B109" s="662"/>
      <c r="C109" s="684"/>
      <c r="D109" s="663"/>
      <c r="E109" s="663"/>
      <c r="F109" s="663"/>
      <c r="G109" s="684"/>
      <c r="H109" s="685"/>
      <c r="I109" s="685"/>
      <c r="J109" s="685"/>
      <c r="K109" s="685"/>
      <c r="L109" s="685"/>
      <c r="M109" s="686"/>
      <c r="N109" s="2045"/>
      <c r="O109" s="2045"/>
      <c r="P109" s="2046"/>
      <c r="Q109" s="2047"/>
      <c r="R109" s="2048"/>
      <c r="S109" s="2048"/>
      <c r="T109" s="2048"/>
      <c r="U109" s="2048"/>
      <c r="V109" s="2048"/>
      <c r="W109" s="2048"/>
      <c r="X109" s="2048"/>
      <c r="Y109" s="2048"/>
      <c r="Z109" s="2048"/>
      <c r="AA109" s="2048"/>
      <c r="AB109" s="2048"/>
      <c r="AC109" s="2048"/>
    </row>
    <row r="110" spans="1:29" ht="15" thickTop="1">
      <c r="A110" s="727"/>
      <c r="B110" s="665">
        <f>B39</f>
        <v>111</v>
      </c>
      <c r="C110" s="680"/>
      <c r="D110" s="680"/>
      <c r="E110" s="680"/>
      <c r="F110" s="680"/>
      <c r="G110" s="680"/>
      <c r="H110" s="681"/>
      <c r="I110" s="681"/>
      <c r="J110" s="681"/>
      <c r="K110" s="681"/>
      <c r="L110" s="682"/>
      <c r="M110" s="68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84"/>
      <c r="D111" s="663"/>
      <c r="E111" s="663"/>
      <c r="F111" s="663"/>
      <c r="G111" s="684"/>
      <c r="H111" s="685"/>
      <c r="I111" s="685"/>
      <c r="J111" s="685"/>
      <c r="K111" s="685"/>
      <c r="L111" s="685"/>
      <c r="M111" s="686"/>
      <c r="N111" s="2044"/>
      <c r="O111" s="2044"/>
      <c r="P111" s="2043"/>
      <c r="Q111" s="2036"/>
      <c r="R111" s="2024"/>
      <c r="S111" s="2024"/>
      <c r="T111" s="2024"/>
      <c r="U111" s="2024"/>
      <c r="V111" s="2024"/>
      <c r="W111" s="2024"/>
      <c r="X111" s="2024"/>
      <c r="Y111" s="2024"/>
      <c r="Z111" s="2024"/>
      <c r="AA111" s="2024"/>
      <c r="AB111" s="2024"/>
      <c r="AC111" s="2024"/>
    </row>
    <row r="112" spans="1:29" ht="15" thickTop="1">
      <c r="A112" s="727"/>
      <c r="B112" s="673">
        <f>B40</f>
        <v>111</v>
      </c>
      <c r="C112" s="653"/>
      <c r="D112" s="653"/>
      <c r="E112" s="653"/>
      <c r="F112" s="653"/>
      <c r="G112" s="714"/>
      <c r="H112" s="714"/>
      <c r="I112" s="714"/>
      <c r="J112" s="714"/>
      <c r="K112" s="653"/>
      <c r="L112" s="654"/>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882"/>
      <c r="B113" s="691"/>
      <c r="C113" s="692"/>
      <c r="D113" s="692"/>
      <c r="E113" s="692"/>
      <c r="F113" s="692"/>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IF(B37="元/平方米",C39,ROUND(B2*10000/D3,0))</f>
        <v>#DIV/0!</v>
      </c>
      <c r="C3" s="841" t="s">
        <v>790</v>
      </c>
      <c r="D3" s="840">
        <f>SUMIF('数据-汇总表'!$C19:$C33,D1,'数据-汇总表'!$E19:$E33)</f>
        <v>0</v>
      </c>
      <c r="E3" s="1759" t="s">
        <v>2063</v>
      </c>
      <c r="F3" s="840">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64" t="s">
        <v>792</v>
      </c>
      <c r="D4" s="3665"/>
      <c r="E4" s="3664" t="s">
        <v>793</v>
      </c>
      <c r="F4" s="3665"/>
      <c r="G4" s="3664" t="s">
        <v>794</v>
      </c>
      <c r="H4" s="3665"/>
      <c r="I4" s="3664" t="s">
        <v>795</v>
      </c>
      <c r="J4" s="3665"/>
      <c r="K4" s="508" t="s">
        <v>796</v>
      </c>
      <c r="L4" s="2012"/>
      <c r="M4" s="2013"/>
      <c r="N4" s="2013"/>
      <c r="O4" s="2013"/>
      <c r="P4" s="3666" t="s">
        <v>797</v>
      </c>
      <c r="Q4" s="3667"/>
      <c r="R4" s="3672" t="s">
        <v>793</v>
      </c>
      <c r="S4" s="3673"/>
      <c r="T4" s="3672" t="s">
        <v>794</v>
      </c>
      <c r="U4" s="3673"/>
      <c r="V4" s="3659" t="s">
        <v>795</v>
      </c>
      <c r="W4" s="3659"/>
      <c r="X4" s="1498"/>
      <c r="Y4" s="3672" t="s">
        <v>797</v>
      </c>
      <c r="Z4" s="3673"/>
      <c r="AA4" s="3661" t="s">
        <v>793</v>
      </c>
      <c r="AB4" s="3662" t="s">
        <v>794</v>
      </c>
      <c r="AC4" s="3661" t="s">
        <v>795</v>
      </c>
    </row>
    <row r="5" spans="1:29" ht="15">
      <c r="A5" s="509"/>
      <c r="B5" s="510"/>
      <c r="C5" s="3680" t="s">
        <v>2890</v>
      </c>
      <c r="D5" s="3681"/>
      <c r="E5" s="3680" t="s">
        <v>2891</v>
      </c>
      <c r="F5" s="3681"/>
      <c r="G5" s="3680" t="s">
        <v>2892</v>
      </c>
      <c r="H5" s="3681"/>
      <c r="I5" s="3680" t="s">
        <v>2893</v>
      </c>
      <c r="J5" s="3681"/>
      <c r="K5" s="508"/>
      <c r="L5" s="2012"/>
      <c r="M5" s="2013"/>
      <c r="N5" s="2013"/>
      <c r="O5" s="2013"/>
      <c r="P5" s="3668"/>
      <c r="Q5" s="3669"/>
      <c r="R5" s="3674"/>
      <c r="S5" s="3675"/>
      <c r="T5" s="3674"/>
      <c r="U5" s="3675"/>
      <c r="V5" s="3659"/>
      <c r="W5" s="3659"/>
      <c r="X5" s="1498"/>
      <c r="Y5" s="3674"/>
      <c r="Z5" s="3675"/>
      <c r="AA5" s="3662"/>
      <c r="AB5" s="3662"/>
      <c r="AC5" s="3662"/>
    </row>
    <row r="6" spans="1:29" ht="15.75" thickBot="1">
      <c r="A6" s="511"/>
      <c r="B6" s="512"/>
      <c r="C6" s="3678" t="s">
        <v>2894</v>
      </c>
      <c r="D6" s="3679"/>
      <c r="E6" s="3682" t="s">
        <v>2894</v>
      </c>
      <c r="F6" s="3683"/>
      <c r="G6" s="3678" t="s">
        <v>2894</v>
      </c>
      <c r="H6" s="3679"/>
      <c r="I6" s="3678" t="s">
        <v>2894</v>
      </c>
      <c r="J6" s="3679"/>
      <c r="K6" s="508" t="s">
        <v>522</v>
      </c>
      <c r="L6" s="2012"/>
      <c r="M6" s="2013"/>
      <c r="N6" s="2013"/>
      <c r="O6" s="2013"/>
      <c r="P6" s="3670"/>
      <c r="Q6" s="3671"/>
      <c r="R6" s="3674"/>
      <c r="S6" s="3675"/>
      <c r="T6" s="3676"/>
      <c r="U6" s="3677"/>
      <c r="V6" s="3659"/>
      <c r="W6" s="3659"/>
      <c r="X6" s="1498"/>
      <c r="Y6" s="3676"/>
      <c r="Z6" s="3677"/>
      <c r="AA6" s="3663"/>
      <c r="AB6" s="3663"/>
      <c r="AC6" s="3663"/>
    </row>
    <row r="7" spans="1:29" s="1201" customFormat="1" ht="15.75" thickBot="1">
      <c r="A7" s="2626"/>
      <c r="B7" s="2633" t="s">
        <v>523</v>
      </c>
      <c r="C7" s="513">
        <f>'数据-取费表'!B2</f>
        <v>44377</v>
      </c>
      <c r="D7" s="514">
        <v>100</v>
      </c>
      <c r="E7" s="515"/>
      <c r="F7" s="516">
        <f>SUMIF(48:48,YEAR(E7)&amp;"-"&amp;MONTH(E7),49:49)</f>
        <v>0</v>
      </c>
      <c r="G7" s="517"/>
      <c r="H7" s="514">
        <f>SUMIF(48:48,YEAR(G7)&amp;"-"&amp;MONTH(G7),49:49)</f>
        <v>0</v>
      </c>
      <c r="I7" s="517"/>
      <c r="J7" s="514">
        <f>SUMIF(48:48,YEAR(I7)&amp;"-"&amp;MONTH(I7),49:49)</f>
        <v>0</v>
      </c>
      <c r="K7" s="518"/>
      <c r="L7" s="2014"/>
      <c r="M7" s="2015"/>
      <c r="N7" s="2015"/>
      <c r="O7" s="2015"/>
      <c r="P7" s="3689" t="s">
        <v>524</v>
      </c>
      <c r="Q7" s="3691"/>
      <c r="R7" s="1499" t="s">
        <v>8</v>
      </c>
      <c r="S7" s="1500">
        <f t="shared" ref="S7:S14" si="0">F7</f>
        <v>0</v>
      </c>
      <c r="T7" s="1499" t="s">
        <v>8</v>
      </c>
      <c r="U7" s="1500">
        <f t="shared" ref="U7:U14" si="1">H7</f>
        <v>0</v>
      </c>
      <c r="V7" s="1499" t="s">
        <v>8</v>
      </c>
      <c r="W7" s="1500">
        <f t="shared" ref="W7:W14" si="2">J7</f>
        <v>0</v>
      </c>
      <c r="X7" s="1501"/>
      <c r="Y7" s="3689" t="s">
        <v>524</v>
      </c>
      <c r="Z7" s="3690"/>
      <c r="AA7" s="1502" t="e">
        <f>D7/F7</f>
        <v>#DIV/0!</v>
      </c>
      <c r="AB7" s="1502" t="e">
        <f>D7/H7</f>
        <v>#DIV/0!</v>
      </c>
      <c r="AC7" s="1502" t="e">
        <f>D7/J7</f>
        <v>#DIV/0!</v>
      </c>
    </row>
    <row r="8" spans="1:29" s="1201" customFormat="1" ht="15.75" thickBot="1">
      <c r="A8" s="2627"/>
      <c r="B8" s="2634" t="s">
        <v>525</v>
      </c>
      <c r="C8" s="519" t="s">
        <v>570</v>
      </c>
      <c r="D8" s="514">
        <v>100</v>
      </c>
      <c r="E8" s="519"/>
      <c r="F8" s="516">
        <f>SUMIF(51:51,E8,52:52)-SUMIF(51:51,C8,52:52)+100</f>
        <v>0</v>
      </c>
      <c r="G8" s="519"/>
      <c r="H8" s="514">
        <f>SUMIF(51:51,G8,52:52)-SUMIF(51:51,C8,52:52)+100</f>
        <v>0</v>
      </c>
      <c r="I8" s="519"/>
      <c r="J8" s="514">
        <f>SUMIF(51:51,I8,52:52)-SUMIF(51:51,C8,52:52)+100</f>
        <v>0</v>
      </c>
      <c r="K8" s="518"/>
      <c r="L8" s="2014"/>
      <c r="M8" s="2015"/>
      <c r="N8" s="2015"/>
      <c r="O8" s="2015"/>
      <c r="P8" s="3689" t="s">
        <v>527</v>
      </c>
      <c r="Q8" s="3690"/>
      <c r="R8" s="1499" t="s">
        <v>8</v>
      </c>
      <c r="S8" s="1500">
        <f t="shared" si="0"/>
        <v>0</v>
      </c>
      <c r="T8" s="1499" t="s">
        <v>8</v>
      </c>
      <c r="U8" s="1500">
        <f t="shared" si="1"/>
        <v>0</v>
      </c>
      <c r="V8" s="1499" t="s">
        <v>8</v>
      </c>
      <c r="W8" s="1500">
        <f t="shared" si="2"/>
        <v>0</v>
      </c>
      <c r="X8" s="1501"/>
      <c r="Y8" s="3689" t="s">
        <v>527</v>
      </c>
      <c r="Z8" s="3690"/>
      <c r="AA8" s="1502" t="e">
        <f t="shared" ref="AA8:AA36" si="3">D8/F8</f>
        <v>#DIV/0!</v>
      </c>
      <c r="AB8" s="1502" t="e">
        <f t="shared" ref="AB8:AB36" si="4">D8/H8</f>
        <v>#DIV/0!</v>
      </c>
      <c r="AC8" s="1502" t="e">
        <f t="shared" ref="AC8:AC36" si="5">D8/J8</f>
        <v>#DIV/0!</v>
      </c>
    </row>
    <row r="9" spans="1:29" s="1201" customFormat="1" ht="15">
      <c r="A9" s="2628"/>
      <c r="B9" s="2635" t="s">
        <v>2733</v>
      </c>
      <c r="C9" s="846"/>
      <c r="D9" s="252">
        <v>100</v>
      </c>
      <c r="E9" s="849"/>
      <c r="F9" s="252">
        <f>SUMIF(53:53,E9,54:54)-SUMIF(53:53,C9,54:54)+100</f>
        <v>100</v>
      </c>
      <c r="G9" s="847"/>
      <c r="H9" s="252">
        <f>SUMIF(53:53,G9,54:54)-SUMIF(53:53,C9,54:54)+100</f>
        <v>100</v>
      </c>
      <c r="I9" s="847"/>
      <c r="J9" s="252">
        <f>SUMIF(53:53,I9,54:54)-SUMIF(53:53,C9,54:54)+100</f>
        <v>100</v>
      </c>
      <c r="K9" s="518"/>
      <c r="L9" s="2014"/>
      <c r="M9" s="2015"/>
      <c r="N9" s="2015"/>
      <c r="O9" s="2016"/>
      <c r="P9" s="3658" t="s">
        <v>529</v>
      </c>
      <c r="Q9" s="1132" t="str">
        <f t="shared" ref="Q9:Q14" si="6">B9</f>
        <v>用途</v>
      </c>
      <c r="R9" s="1499" t="s">
        <v>8</v>
      </c>
      <c r="S9" s="1500">
        <f t="shared" si="0"/>
        <v>100</v>
      </c>
      <c r="T9" s="1499" t="s">
        <v>8</v>
      </c>
      <c r="U9" s="1500">
        <f t="shared" si="1"/>
        <v>100</v>
      </c>
      <c r="V9" s="1499" t="s">
        <v>8</v>
      </c>
      <c r="W9" s="1500">
        <f t="shared" si="2"/>
        <v>100</v>
      </c>
      <c r="X9" s="1501"/>
      <c r="Y9" s="3604"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SUMIF(55:55,E10,56:56)-SUMIF(55:55,C10,56:56)+100</f>
        <v>100</v>
      </c>
      <c r="G10" s="851"/>
      <c r="H10" s="253">
        <f>SUMIF(55:55,G10,56:56)-SUMIF(55:55,C10,56:56)+100</f>
        <v>100</v>
      </c>
      <c r="I10" s="850"/>
      <c r="J10" s="253">
        <f>SUMIF(55:55,I10,56:56)-SUMIF(55:55,C10,56:56)+100</f>
        <v>100</v>
      </c>
      <c r="K10" s="578"/>
      <c r="L10" s="2017"/>
      <c r="M10" s="2056"/>
      <c r="N10" s="2056"/>
      <c r="O10" s="2018"/>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
      <c r="A11" s="2631"/>
      <c r="B11" s="2637">
        <v>111</v>
      </c>
      <c r="C11" s="522"/>
      <c r="D11" s="253">
        <v>100</v>
      </c>
      <c r="E11" s="522"/>
      <c r="F11" s="253">
        <f>SUMIF(57:57,E11,58:58)-SUMIF(57:57,C11,58:58)+100</f>
        <v>100</v>
      </c>
      <c r="G11" s="522"/>
      <c r="H11" s="253">
        <f>SUMIF(57:57,G11,58:58)-SUMIF(57:57,C11,58:58)+100</f>
        <v>100</v>
      </c>
      <c r="I11" s="522"/>
      <c r="J11" s="253">
        <f>SUMIF(57:57,I11,58:58)-SUMIF(57:57,C11,58:58)+100</f>
        <v>100</v>
      </c>
      <c r="K11" s="575"/>
      <c r="L11" s="2019"/>
      <c r="M11" s="2013"/>
      <c r="N11" s="2013"/>
      <c r="O11" s="2020"/>
      <c r="P11" s="3658"/>
      <c r="Q11" s="1132">
        <f t="shared" si="6"/>
        <v>111</v>
      </c>
      <c r="R11" s="1499" t="s">
        <v>8</v>
      </c>
      <c r="S11" s="1500">
        <f t="shared" si="0"/>
        <v>100</v>
      </c>
      <c r="T11" s="1499" t="s">
        <v>8</v>
      </c>
      <c r="U11" s="1500">
        <f t="shared" si="1"/>
        <v>100</v>
      </c>
      <c r="V11" s="1499" t="s">
        <v>8</v>
      </c>
      <c r="W11" s="1500">
        <f t="shared" si="2"/>
        <v>100</v>
      </c>
      <c r="X11" s="1501"/>
      <c r="Y11" s="3604"/>
      <c r="Z11" s="1131">
        <f t="shared" si="7"/>
        <v>111</v>
      </c>
      <c r="AA11" s="1502">
        <f t="shared" si="3"/>
        <v>1</v>
      </c>
      <c r="AB11" s="1502">
        <f t="shared" si="4"/>
        <v>1</v>
      </c>
      <c r="AC11" s="1502">
        <f t="shared" si="5"/>
        <v>1</v>
      </c>
    </row>
    <row r="12" spans="1:29" s="1201" customFormat="1" ht="15">
      <c r="A12" s="2631"/>
      <c r="B12" s="2637">
        <v>111</v>
      </c>
      <c r="C12" s="522"/>
      <c r="D12" s="532">
        <v>100</v>
      </c>
      <c r="E12" s="522"/>
      <c r="F12" s="253">
        <f>SUMIF(59:59,E12,60:60)-SUMIF(59:59,C12,60:60)+100</f>
        <v>100</v>
      </c>
      <c r="G12" s="522"/>
      <c r="H12" s="253">
        <f>SUMIF(59:59,G12,60:60)-SUMIF(59:59,C12,60:60)+100</f>
        <v>100</v>
      </c>
      <c r="I12" s="522"/>
      <c r="J12" s="253">
        <f>SUMIF(59:59,I12,60:60)-SUMIF(59:59,C12,60:60)+100</f>
        <v>100</v>
      </c>
      <c r="K12" s="575"/>
      <c r="L12" s="2014"/>
      <c r="M12" s="2015"/>
      <c r="N12" s="2015"/>
      <c r="O12" s="2016"/>
      <c r="P12" s="3658"/>
      <c r="Q12" s="1132">
        <f t="shared" si="6"/>
        <v>111</v>
      </c>
      <c r="R12" s="1499" t="s">
        <v>8</v>
      </c>
      <c r="S12" s="1500">
        <f t="shared" si="0"/>
        <v>100</v>
      </c>
      <c r="T12" s="1499" t="s">
        <v>8</v>
      </c>
      <c r="U12" s="1500">
        <f t="shared" si="1"/>
        <v>100</v>
      </c>
      <c r="V12" s="1499" t="s">
        <v>8</v>
      </c>
      <c r="W12" s="1500">
        <f t="shared" si="2"/>
        <v>100</v>
      </c>
      <c r="X12" s="1501"/>
      <c r="Y12" s="3604"/>
      <c r="Z12" s="1131">
        <f t="shared" si="7"/>
        <v>111</v>
      </c>
      <c r="AA12" s="1502">
        <f>D12/F12</f>
        <v>1</v>
      </c>
      <c r="AB12" s="1502">
        <f>D12/H12</f>
        <v>1</v>
      </c>
      <c r="AC12" s="1502">
        <f>D12/J12</f>
        <v>1</v>
      </c>
    </row>
    <row r="13" spans="1:29" ht="15.75" thickBot="1">
      <c r="A13" s="2632"/>
      <c r="B13" s="2638">
        <v>111</v>
      </c>
      <c r="C13" s="533"/>
      <c r="D13" s="534">
        <v>100</v>
      </c>
      <c r="E13" s="522"/>
      <c r="F13" s="253">
        <f>SUMIF(61:61,E13,62:62)-SUMIF(61:61,C13,62:62)+100</f>
        <v>100</v>
      </c>
      <c r="G13" s="522"/>
      <c r="H13" s="534">
        <f>SUMIF(61:61,G13,62:62)-SUMIF(61:61,C13,62:62)+100</f>
        <v>100</v>
      </c>
      <c r="I13" s="522"/>
      <c r="J13" s="534">
        <f>SUMIF(61:61,I13,62:62)-SUMIF(61:61,C13,62:62)+100</f>
        <v>100</v>
      </c>
      <c r="K13" s="575"/>
      <c r="L13" s="2021"/>
      <c r="M13" s="2013"/>
      <c r="N13" s="2013"/>
      <c r="O13" s="2020"/>
      <c r="P13" s="3658"/>
      <c r="Q13" s="1132">
        <f t="shared" si="6"/>
        <v>111</v>
      </c>
      <c r="R13" s="1499" t="s">
        <v>8</v>
      </c>
      <c r="S13" s="1500">
        <f t="shared" si="0"/>
        <v>100</v>
      </c>
      <c r="T13" s="1499" t="s">
        <v>8</v>
      </c>
      <c r="U13" s="1500">
        <f t="shared" si="1"/>
        <v>100</v>
      </c>
      <c r="V13" s="1499" t="s">
        <v>8</v>
      </c>
      <c r="W13" s="1500">
        <f t="shared" si="2"/>
        <v>100</v>
      </c>
      <c r="X13" s="1501"/>
      <c r="Y13" s="3604"/>
      <c r="Z13" s="1131">
        <f t="shared" si="7"/>
        <v>111</v>
      </c>
      <c r="AA13" s="1502">
        <f t="shared" si="3"/>
        <v>1</v>
      </c>
      <c r="AB13" s="1502">
        <f t="shared" si="4"/>
        <v>1</v>
      </c>
      <c r="AC13" s="1502">
        <f t="shared" si="5"/>
        <v>1</v>
      </c>
    </row>
    <row r="14" spans="1:29" ht="85.5">
      <c r="A14" s="2624" t="s">
        <v>2731</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1"/>
      <c r="M14" s="2013"/>
      <c r="N14" s="2013"/>
      <c r="O14" s="2020"/>
      <c r="P14" s="3692" t="s">
        <v>534</v>
      </c>
      <c r="Q14" s="1503" t="str">
        <f t="shared" si="6"/>
        <v>交通便捷度</v>
      </c>
      <c r="R14" s="1504" t="s">
        <v>8</v>
      </c>
      <c r="S14" s="1505">
        <f t="shared" si="0"/>
        <v>100</v>
      </c>
      <c r="T14" s="1504" t="s">
        <v>8</v>
      </c>
      <c r="U14" s="1505">
        <f t="shared" si="1"/>
        <v>100</v>
      </c>
      <c r="V14" s="1504" t="s">
        <v>8</v>
      </c>
      <c r="W14" s="1505">
        <f t="shared" si="2"/>
        <v>100</v>
      </c>
      <c r="X14" s="1498"/>
      <c r="Y14" s="3692" t="s">
        <v>534</v>
      </c>
      <c r="Z14" s="1506" t="str">
        <f t="shared" si="7"/>
        <v>交通便捷度</v>
      </c>
      <c r="AA14" s="1507">
        <f t="shared" si="3"/>
        <v>1</v>
      </c>
      <c r="AB14" s="1507">
        <f t="shared" si="4"/>
        <v>1</v>
      </c>
      <c r="AC14" s="1507">
        <f t="shared" si="5"/>
        <v>1</v>
      </c>
    </row>
    <row r="15" spans="1:29" ht="15">
      <c r="A15" s="509"/>
      <c r="B15" s="912"/>
      <c r="C15" s="570"/>
      <c r="D15" s="549"/>
      <c r="E15" s="570"/>
      <c r="F15" s="551"/>
      <c r="G15" s="570"/>
      <c r="H15" s="553"/>
      <c r="I15" s="570"/>
      <c r="J15" s="549"/>
      <c r="K15" s="888"/>
      <c r="L15" s="2021"/>
      <c r="M15" s="2013"/>
      <c r="N15" s="2013"/>
      <c r="O15" s="2020"/>
      <c r="P15" s="3693"/>
      <c r="Q15" s="1503"/>
      <c r="R15" s="1504"/>
      <c r="S15" s="1505"/>
      <c r="T15" s="1504"/>
      <c r="U15" s="1505"/>
      <c r="V15" s="1504"/>
      <c r="W15" s="1505"/>
      <c r="X15" s="1498"/>
      <c r="Y15" s="3693"/>
      <c r="Z15" s="1506"/>
      <c r="AA15" s="1507">
        <v>1</v>
      </c>
      <c r="AB15" s="1507">
        <v>1</v>
      </c>
      <c r="AC15" s="1507">
        <v>1</v>
      </c>
    </row>
    <row r="16" spans="1:29" ht="42.75">
      <c r="A16" s="509"/>
      <c r="B16" s="2444" t="s">
        <v>2525</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1"/>
      <c r="M16" s="2013"/>
      <c r="N16" s="2013"/>
      <c r="O16" s="2020"/>
      <c r="P16" s="3693"/>
      <c r="Q16" s="1503" t="str">
        <f>B16</f>
        <v>公共配套设施</v>
      </c>
      <c r="R16" s="1504" t="s">
        <v>8</v>
      </c>
      <c r="S16" s="1505">
        <f>F16</f>
        <v>100</v>
      </c>
      <c r="T16" s="1504" t="s">
        <v>8</v>
      </c>
      <c r="U16" s="1505">
        <f>H16</f>
        <v>100</v>
      </c>
      <c r="V16" s="1504" t="s">
        <v>8</v>
      </c>
      <c r="W16" s="1505">
        <f>J16</f>
        <v>100</v>
      </c>
      <c r="X16" s="1498"/>
      <c r="Y16" s="3693"/>
      <c r="Z16" s="1506" t="str">
        <f>Q16</f>
        <v>公共配套设施</v>
      </c>
      <c r="AA16" s="1507">
        <f t="shared" si="3"/>
        <v>1</v>
      </c>
      <c r="AB16" s="1507">
        <f t="shared" si="4"/>
        <v>1</v>
      </c>
      <c r="AC16" s="1507">
        <f t="shared" si="5"/>
        <v>1</v>
      </c>
    </row>
    <row r="17" spans="1:29" ht="15">
      <c r="A17" s="509"/>
      <c r="B17" s="560"/>
      <c r="C17" s="862"/>
      <c r="D17" s="549"/>
      <c r="E17" s="570"/>
      <c r="F17" s="551"/>
      <c r="G17" s="570"/>
      <c r="H17" s="549"/>
      <c r="I17" s="570"/>
      <c r="J17" s="549"/>
      <c r="K17" s="888"/>
      <c r="L17" s="2021"/>
      <c r="M17" s="2013"/>
      <c r="N17" s="2013"/>
      <c r="O17" s="2020"/>
      <c r="P17" s="3693"/>
      <c r="Q17" s="1503"/>
      <c r="R17" s="1504"/>
      <c r="S17" s="1505"/>
      <c r="T17" s="1504"/>
      <c r="U17" s="1505"/>
      <c r="V17" s="1504"/>
      <c r="W17" s="1505"/>
      <c r="X17" s="1498"/>
      <c r="Y17" s="3693"/>
      <c r="Z17" s="1506"/>
      <c r="AA17" s="1507">
        <v>1</v>
      </c>
      <c r="AB17" s="1507">
        <v>1</v>
      </c>
      <c r="AC17" s="1507">
        <v>1</v>
      </c>
    </row>
    <row r="18" spans="1:29" ht="28.5">
      <c r="A18" s="509"/>
      <c r="B18" s="2432" t="s">
        <v>2537</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1"/>
      <c r="M18" s="2013"/>
      <c r="N18" s="2013"/>
      <c r="O18" s="2020"/>
      <c r="P18" s="3693"/>
      <c r="Q18" s="2426" t="str">
        <f>B18</f>
        <v>基础设施水平</v>
      </c>
      <c r="R18" s="1504" t="s">
        <v>8</v>
      </c>
      <c r="S18" s="1505">
        <f>F18</f>
        <v>100</v>
      </c>
      <c r="T18" s="1504" t="s">
        <v>8</v>
      </c>
      <c r="U18" s="1505">
        <f>H18</f>
        <v>100</v>
      </c>
      <c r="V18" s="1504" t="s">
        <v>8</v>
      </c>
      <c r="W18" s="1505">
        <f>J18</f>
        <v>100</v>
      </c>
      <c r="X18" s="2428"/>
      <c r="Y18" s="3693"/>
      <c r="Z18" s="2427" t="str">
        <f>Q18</f>
        <v>基础设施水平</v>
      </c>
      <c r="AA18" s="1507">
        <f t="shared" ref="AA18" si="8">D18/F18</f>
        <v>1</v>
      </c>
      <c r="AB18" s="1507">
        <f t="shared" ref="AB18" si="9">D18/H18</f>
        <v>1</v>
      </c>
      <c r="AC18" s="1507">
        <f t="shared" ref="AC18" si="10">D18/J18</f>
        <v>1</v>
      </c>
    </row>
    <row r="19" spans="1:29" ht="15">
      <c r="A19" s="509"/>
      <c r="B19" s="572"/>
      <c r="C19" s="862"/>
      <c r="D19" s="553"/>
      <c r="E19" s="570"/>
      <c r="F19" s="551"/>
      <c r="G19" s="570"/>
      <c r="H19" s="549"/>
      <c r="I19" s="570"/>
      <c r="J19" s="549"/>
      <c r="K19" s="2443"/>
      <c r="L19" s="2021"/>
      <c r="M19" s="2013"/>
      <c r="N19" s="2013"/>
      <c r="O19" s="2020"/>
      <c r="P19" s="3693"/>
      <c r="Q19" s="2426"/>
      <c r="R19" s="1504"/>
      <c r="S19" s="1505"/>
      <c r="T19" s="1504"/>
      <c r="U19" s="1505"/>
      <c r="V19" s="1504"/>
      <c r="W19" s="1505"/>
      <c r="X19" s="2428"/>
      <c r="Y19" s="3693"/>
      <c r="Z19" s="2427"/>
      <c r="AA19" s="1507">
        <v>1</v>
      </c>
      <c r="AB19" s="1507">
        <v>1</v>
      </c>
      <c r="AC19" s="1507">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1"/>
      <c r="M20" s="2013"/>
      <c r="N20" s="2013"/>
      <c r="O20" s="2020"/>
      <c r="P20" s="3693"/>
      <c r="Q20" s="1503" t="str">
        <f>B20</f>
        <v>自然及人文环境</v>
      </c>
      <c r="R20" s="1504" t="s">
        <v>8</v>
      </c>
      <c r="S20" s="1505">
        <f>F20</f>
        <v>100</v>
      </c>
      <c r="T20" s="1504" t="s">
        <v>8</v>
      </c>
      <c r="U20" s="1505">
        <f>H20</f>
        <v>100</v>
      </c>
      <c r="V20" s="1504" t="s">
        <v>8</v>
      </c>
      <c r="W20" s="1505">
        <f>J20</f>
        <v>100</v>
      </c>
      <c r="X20" s="1498"/>
      <c r="Y20" s="3693"/>
      <c r="Z20" s="1506" t="str">
        <f>Q20</f>
        <v>自然及人文环境</v>
      </c>
      <c r="AA20" s="1507">
        <f t="shared" si="3"/>
        <v>1</v>
      </c>
      <c r="AB20" s="1507">
        <f t="shared" si="4"/>
        <v>1</v>
      </c>
      <c r="AC20" s="1507">
        <f t="shared" si="5"/>
        <v>1</v>
      </c>
    </row>
    <row r="21" spans="1:29" ht="15">
      <c r="A21" s="509"/>
      <c r="B21" s="560"/>
      <c r="C21" s="570"/>
      <c r="D21" s="549"/>
      <c r="E21" s="570"/>
      <c r="F21" s="551"/>
      <c r="G21" s="570"/>
      <c r="H21" s="549"/>
      <c r="I21" s="570"/>
      <c r="J21" s="549"/>
      <c r="K21" s="888"/>
      <c r="L21" s="2021"/>
      <c r="M21" s="2013"/>
      <c r="N21" s="2013"/>
      <c r="O21" s="2020"/>
      <c r="P21" s="3693"/>
      <c r="Q21" s="1503"/>
      <c r="R21" s="1504"/>
      <c r="S21" s="1505"/>
      <c r="T21" s="1504"/>
      <c r="U21" s="1505"/>
      <c r="V21" s="1504"/>
      <c r="W21" s="1505"/>
      <c r="X21" s="1498"/>
      <c r="Y21" s="3693"/>
      <c r="Z21" s="1506"/>
      <c r="AA21" s="1507">
        <v>1</v>
      </c>
      <c r="AB21" s="1507">
        <v>1</v>
      </c>
      <c r="AC21" s="1507">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1"/>
      <c r="M22" s="2013"/>
      <c r="N22" s="2013"/>
      <c r="O22" s="2020"/>
      <c r="P22" s="3693"/>
      <c r="Q22" s="1503" t="str">
        <f>B22</f>
        <v>楼层</v>
      </c>
      <c r="R22" s="1504" t="s">
        <v>8</v>
      </c>
      <c r="S22" s="1505">
        <f>F22</f>
        <v>100</v>
      </c>
      <c r="T22" s="1504" t="s">
        <v>8</v>
      </c>
      <c r="U22" s="1505">
        <f>H22</f>
        <v>100</v>
      </c>
      <c r="V22" s="1504" t="s">
        <v>8</v>
      </c>
      <c r="W22" s="1505">
        <f>J22</f>
        <v>100</v>
      </c>
      <c r="X22" s="1498"/>
      <c r="Y22" s="3693"/>
      <c r="Z22" s="1506" t="str">
        <f>Q22</f>
        <v>楼层</v>
      </c>
      <c r="AA22" s="1507">
        <f t="shared" si="3"/>
        <v>1</v>
      </c>
      <c r="AB22" s="1507">
        <f t="shared" si="4"/>
        <v>1</v>
      </c>
      <c r="AC22" s="1507">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1"/>
      <c r="M23" s="2013"/>
      <c r="N23" s="2013"/>
      <c r="O23" s="2020"/>
      <c r="P23" s="3693"/>
      <c r="Q23" s="1503">
        <f>B23</f>
        <v>111</v>
      </c>
      <c r="R23" s="1504" t="s">
        <v>8</v>
      </c>
      <c r="S23" s="1505">
        <f>F23</f>
        <v>100</v>
      </c>
      <c r="T23" s="1504" t="s">
        <v>8</v>
      </c>
      <c r="U23" s="1505">
        <f>H23</f>
        <v>100</v>
      </c>
      <c r="V23" s="1504" t="s">
        <v>8</v>
      </c>
      <c r="W23" s="1505">
        <f>J23</f>
        <v>100</v>
      </c>
      <c r="X23" s="1498"/>
      <c r="Y23" s="3693"/>
      <c r="Z23" s="1506">
        <f>Q23</f>
        <v>111</v>
      </c>
      <c r="AA23" s="1507">
        <f t="shared" si="3"/>
        <v>1</v>
      </c>
      <c r="AB23" s="1507">
        <f t="shared" si="4"/>
        <v>1</v>
      </c>
      <c r="AC23" s="1507">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1"/>
      <c r="M24" s="2013"/>
      <c r="N24" s="2013"/>
      <c r="O24" s="2020"/>
      <c r="P24" s="3693"/>
      <c r="Q24" s="1503">
        <f t="shared" ref="Q24:Q36" si="11">B24</f>
        <v>111</v>
      </c>
      <c r="R24" s="1504" t="s">
        <v>8</v>
      </c>
      <c r="S24" s="1505">
        <f>F24</f>
        <v>100</v>
      </c>
      <c r="T24" s="1504" t="s">
        <v>8</v>
      </c>
      <c r="U24" s="1505">
        <f>H24</f>
        <v>100</v>
      </c>
      <c r="V24" s="1504" t="s">
        <v>8</v>
      </c>
      <c r="W24" s="1505">
        <f>J24</f>
        <v>100</v>
      </c>
      <c r="X24" s="1498"/>
      <c r="Y24" s="3693"/>
      <c r="Z24" s="1506">
        <f>Q24</f>
        <v>111</v>
      </c>
      <c r="AA24" s="1507">
        <f t="shared" si="3"/>
        <v>1</v>
      </c>
      <c r="AB24" s="1507">
        <f t="shared" si="4"/>
        <v>1</v>
      </c>
      <c r="AC24" s="1507">
        <f t="shared" si="5"/>
        <v>1</v>
      </c>
    </row>
    <row r="25" spans="1:29" s="1201"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4"/>
      <c r="M25" s="2015"/>
      <c r="N25" s="2015"/>
      <c r="O25" s="2016"/>
      <c r="P25" s="3693"/>
      <c r="Q25" s="1132">
        <f t="shared" si="11"/>
        <v>111</v>
      </c>
      <c r="R25" s="1499" t="s">
        <v>8</v>
      </c>
      <c r="S25" s="1500">
        <f>F25</f>
        <v>100</v>
      </c>
      <c r="T25" s="1499" t="s">
        <v>8</v>
      </c>
      <c r="U25" s="1500">
        <f>H25</f>
        <v>100</v>
      </c>
      <c r="V25" s="1499" t="s">
        <v>8</v>
      </c>
      <c r="W25" s="1500">
        <f>J25</f>
        <v>100</v>
      </c>
      <c r="X25" s="1501"/>
      <c r="Y25" s="3693"/>
      <c r="Z25" s="1131">
        <f>Q25</f>
        <v>111</v>
      </c>
      <c r="AA25" s="1507">
        <f>D25/F25</f>
        <v>1</v>
      </c>
      <c r="AB25" s="1507">
        <f>D25/H25</f>
        <v>1</v>
      </c>
      <c r="AC25" s="1507">
        <f>D25/J25</f>
        <v>1</v>
      </c>
    </row>
    <row r="26" spans="1:29" ht="15">
      <c r="A26" s="2621" t="s">
        <v>2732</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1"/>
      <c r="M26" s="2013"/>
      <c r="N26" s="2013"/>
      <c r="O26" s="2020"/>
      <c r="P26" s="3694"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695" t="s">
        <v>544</v>
      </c>
      <c r="Z26" s="1506" t="str">
        <f t="shared" ref="Z26:Z36" si="15">Q26</f>
        <v>配套类型</v>
      </c>
      <c r="AA26" s="1507">
        <f t="shared" si="3"/>
        <v>1</v>
      </c>
      <c r="AB26" s="1507">
        <f t="shared" si="4"/>
        <v>1</v>
      </c>
      <c r="AC26" s="1507">
        <f t="shared" si="5"/>
        <v>1</v>
      </c>
    </row>
    <row r="27" spans="1:29" s="1291"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19"/>
      <c r="M27" s="2049"/>
      <c r="N27" s="2049"/>
      <c r="O27" s="2022"/>
      <c r="P27" s="3695"/>
      <c r="Q27" s="1532" t="str">
        <f t="shared" si="11"/>
        <v>项目停车位配比</v>
      </c>
      <c r="R27" s="1508" t="s">
        <v>8</v>
      </c>
      <c r="S27" s="1509">
        <f t="shared" si="12"/>
        <v>100</v>
      </c>
      <c r="T27" s="1508" t="s">
        <v>8</v>
      </c>
      <c r="U27" s="1509">
        <f t="shared" si="13"/>
        <v>100</v>
      </c>
      <c r="V27" s="1508" t="s">
        <v>8</v>
      </c>
      <c r="W27" s="1509">
        <f t="shared" si="14"/>
        <v>100</v>
      </c>
      <c r="X27" s="1510"/>
      <c r="Y27" s="3695"/>
      <c r="Z27" s="1511" t="str">
        <f t="shared" si="15"/>
        <v>项目停车位配比</v>
      </c>
      <c r="AA27" s="1507">
        <f t="shared" si="3"/>
        <v>1</v>
      </c>
      <c r="AB27" s="1507">
        <f t="shared" si="4"/>
        <v>1</v>
      </c>
      <c r="AC27" s="1507">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1"/>
      <c r="M28" s="2013"/>
      <c r="N28" s="2013"/>
      <c r="O28" s="2020"/>
      <c r="P28" s="3695"/>
      <c r="Q28" s="1503" t="str">
        <f t="shared" si="11"/>
        <v>公共部分装修</v>
      </c>
      <c r="R28" s="1504" t="s">
        <v>8</v>
      </c>
      <c r="S28" s="1505">
        <f t="shared" si="12"/>
        <v>100</v>
      </c>
      <c r="T28" s="1504" t="s">
        <v>8</v>
      </c>
      <c r="U28" s="1505">
        <f t="shared" si="13"/>
        <v>100</v>
      </c>
      <c r="V28" s="1504" t="s">
        <v>8</v>
      </c>
      <c r="W28" s="1505">
        <f t="shared" si="14"/>
        <v>100</v>
      </c>
      <c r="X28" s="1498"/>
      <c r="Y28" s="3695"/>
      <c r="Z28" s="1506" t="str">
        <f t="shared" si="15"/>
        <v>公共部分装修</v>
      </c>
      <c r="AA28" s="1507">
        <f t="shared" si="3"/>
        <v>1</v>
      </c>
      <c r="AB28" s="1507">
        <f t="shared" si="4"/>
        <v>1</v>
      </c>
      <c r="AC28" s="1507">
        <f t="shared" si="5"/>
        <v>1</v>
      </c>
    </row>
    <row r="29" spans="1:29" ht="15">
      <c r="A29" s="919"/>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1"/>
      <c r="M29" s="2013"/>
      <c r="N29" s="2013"/>
      <c r="O29" s="2020"/>
      <c r="P29" s="3695"/>
      <c r="Q29" s="1503" t="str">
        <f t="shared" si="11"/>
        <v>成新率</v>
      </c>
      <c r="R29" s="1504" t="s">
        <v>8</v>
      </c>
      <c r="S29" s="1505" t="e">
        <f t="shared" si="12"/>
        <v>#N/A</v>
      </c>
      <c r="T29" s="1504" t="s">
        <v>8</v>
      </c>
      <c r="U29" s="1505" t="e">
        <f t="shared" si="13"/>
        <v>#N/A</v>
      </c>
      <c r="V29" s="1504" t="s">
        <v>8</v>
      </c>
      <c r="W29" s="1505" t="e">
        <f t="shared" si="14"/>
        <v>#N/A</v>
      </c>
      <c r="X29" s="1498"/>
      <c r="Y29" s="3695"/>
      <c r="Z29" s="1506" t="str">
        <f t="shared" si="15"/>
        <v>成新率</v>
      </c>
      <c r="AA29" s="1507" t="e">
        <f t="shared" si="3"/>
        <v>#N/A</v>
      </c>
      <c r="AB29" s="1507" t="e">
        <f t="shared" si="4"/>
        <v>#N/A</v>
      </c>
      <c r="AC29" s="1507"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1"/>
      <c r="M30" s="2013"/>
      <c r="N30" s="2013"/>
      <c r="O30" s="2020"/>
      <c r="P30" s="3695"/>
      <c r="Q30" s="1503" t="str">
        <f t="shared" si="11"/>
        <v>物业等级</v>
      </c>
      <c r="R30" s="1504" t="s">
        <v>8</v>
      </c>
      <c r="S30" s="1505">
        <f t="shared" si="12"/>
        <v>100</v>
      </c>
      <c r="T30" s="1504" t="s">
        <v>8</v>
      </c>
      <c r="U30" s="1505">
        <f t="shared" si="13"/>
        <v>100</v>
      </c>
      <c r="V30" s="1504" t="s">
        <v>8</v>
      </c>
      <c r="W30" s="1505">
        <f t="shared" si="14"/>
        <v>100</v>
      </c>
      <c r="X30" s="1498"/>
      <c r="Y30" s="3695"/>
      <c r="Z30" s="1506" t="str">
        <f t="shared" si="15"/>
        <v>物业等级</v>
      </c>
      <c r="AA30" s="1507">
        <f t="shared" si="3"/>
        <v>1</v>
      </c>
      <c r="AB30" s="1507">
        <f t="shared" si="4"/>
        <v>1</v>
      </c>
      <c r="AC30" s="1507">
        <f t="shared" si="5"/>
        <v>1</v>
      </c>
    </row>
    <row r="31" spans="1:29" s="1201" customFormat="1" ht="15">
      <c r="A31" s="921"/>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4"/>
      <c r="M31" s="2015"/>
      <c r="N31" s="2015"/>
      <c r="O31" s="2016"/>
      <c r="P31" s="3695"/>
      <c r="Q31" s="1132" t="str">
        <f t="shared" si="11"/>
        <v>停车位面积</v>
      </c>
      <c r="R31" s="1499" t="s">
        <v>8</v>
      </c>
      <c r="S31" s="1500" t="e">
        <f t="shared" si="12"/>
        <v>#N/A</v>
      </c>
      <c r="T31" s="1499" t="s">
        <v>8</v>
      </c>
      <c r="U31" s="1500" t="e">
        <f t="shared" si="13"/>
        <v>#N/A</v>
      </c>
      <c r="V31" s="1499" t="s">
        <v>8</v>
      </c>
      <c r="W31" s="1500" t="e">
        <f t="shared" si="14"/>
        <v>#N/A</v>
      </c>
      <c r="X31" s="1501"/>
      <c r="Y31" s="3695"/>
      <c r="Z31" s="1131" t="str">
        <f t="shared" si="15"/>
        <v>停车位面积</v>
      </c>
      <c r="AA31" s="1502" t="e">
        <f t="shared" si="3"/>
        <v>#N/A</v>
      </c>
      <c r="AB31" s="1502" t="e">
        <f t="shared" si="4"/>
        <v>#N/A</v>
      </c>
      <c r="AC31" s="1502"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1"/>
      <c r="M32" s="2013"/>
      <c r="N32" s="2013"/>
      <c r="O32" s="2020"/>
      <c r="P32" s="3695" t="s">
        <v>544</v>
      </c>
      <c r="Q32" s="1503" t="str">
        <f t="shared" si="11"/>
        <v>车位类型</v>
      </c>
      <c r="R32" s="1504" t="s">
        <v>8</v>
      </c>
      <c r="S32" s="1505">
        <f t="shared" si="12"/>
        <v>100</v>
      </c>
      <c r="T32" s="1504" t="s">
        <v>8</v>
      </c>
      <c r="U32" s="1505">
        <f t="shared" si="13"/>
        <v>100</v>
      </c>
      <c r="V32" s="1504" t="s">
        <v>8</v>
      </c>
      <c r="W32" s="1505">
        <f t="shared" si="14"/>
        <v>100</v>
      </c>
      <c r="X32" s="1498"/>
      <c r="Y32" s="3695" t="s">
        <v>544</v>
      </c>
      <c r="Z32" s="1506" t="str">
        <f t="shared" si="15"/>
        <v>车位类型</v>
      </c>
      <c r="AA32" s="1507">
        <f t="shared" si="3"/>
        <v>1</v>
      </c>
      <c r="AB32" s="1507">
        <f t="shared" si="4"/>
        <v>1</v>
      </c>
      <c r="AC32" s="1507">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1"/>
      <c r="M33" s="2013"/>
      <c r="N33" s="2013"/>
      <c r="O33" s="2020"/>
      <c r="P33" s="3695"/>
      <c r="Q33" s="1503" t="str">
        <f t="shared" si="11"/>
        <v>是否直接入户</v>
      </c>
      <c r="R33" s="1504" t="s">
        <v>8</v>
      </c>
      <c r="S33" s="1505">
        <f t="shared" si="12"/>
        <v>100</v>
      </c>
      <c r="T33" s="1504" t="s">
        <v>8</v>
      </c>
      <c r="U33" s="1505">
        <f t="shared" si="13"/>
        <v>100</v>
      </c>
      <c r="V33" s="1504" t="s">
        <v>8</v>
      </c>
      <c r="W33" s="1505">
        <f t="shared" si="14"/>
        <v>100</v>
      </c>
      <c r="X33" s="1498"/>
      <c r="Y33" s="3695"/>
      <c r="Z33" s="1506" t="str">
        <f t="shared" si="15"/>
        <v>是否直接入户</v>
      </c>
      <c r="AA33" s="1507">
        <f t="shared" si="3"/>
        <v>1</v>
      </c>
      <c r="AB33" s="1507">
        <f t="shared" si="4"/>
        <v>1</v>
      </c>
      <c r="AC33" s="1507">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1"/>
      <c r="M34" s="2013"/>
      <c r="N34" s="2013"/>
      <c r="O34" s="2020"/>
      <c r="P34" s="3695"/>
      <c r="Q34" s="1503">
        <f t="shared" si="11"/>
        <v>111</v>
      </c>
      <c r="R34" s="1504" t="s">
        <v>8</v>
      </c>
      <c r="S34" s="1505">
        <f t="shared" si="12"/>
        <v>100</v>
      </c>
      <c r="T34" s="1504" t="s">
        <v>8</v>
      </c>
      <c r="U34" s="1505">
        <f t="shared" si="13"/>
        <v>100</v>
      </c>
      <c r="V34" s="1504" t="s">
        <v>8</v>
      </c>
      <c r="W34" s="1505">
        <f t="shared" si="14"/>
        <v>100</v>
      </c>
      <c r="X34" s="1498"/>
      <c r="Y34" s="3695"/>
      <c r="Z34" s="1506">
        <f t="shared" si="15"/>
        <v>111</v>
      </c>
      <c r="AA34" s="1507">
        <f t="shared" si="3"/>
        <v>1</v>
      </c>
      <c r="AB34" s="1507">
        <f t="shared" si="4"/>
        <v>1</v>
      </c>
      <c r="AC34" s="1507">
        <f t="shared" si="5"/>
        <v>1</v>
      </c>
    </row>
    <row r="35" spans="1:29" s="1291"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9"/>
      <c r="M35" s="2049"/>
      <c r="N35" s="2049"/>
      <c r="O35" s="2022"/>
      <c r="P35" s="3695"/>
      <c r="Q35" s="1532">
        <f t="shared" si="11"/>
        <v>111</v>
      </c>
      <c r="R35" s="1508" t="s">
        <v>8</v>
      </c>
      <c r="S35" s="1509">
        <f t="shared" si="12"/>
        <v>100</v>
      </c>
      <c r="T35" s="1508" t="s">
        <v>8</v>
      </c>
      <c r="U35" s="1509">
        <f t="shared" si="13"/>
        <v>100</v>
      </c>
      <c r="V35" s="1508" t="s">
        <v>8</v>
      </c>
      <c r="W35" s="1509">
        <f t="shared" si="14"/>
        <v>100</v>
      </c>
      <c r="X35" s="1510"/>
      <c r="Y35" s="3695"/>
      <c r="Z35" s="1511">
        <f t="shared" si="15"/>
        <v>111</v>
      </c>
      <c r="AA35" s="1507">
        <f t="shared" si="3"/>
        <v>1</v>
      </c>
      <c r="AB35" s="1507">
        <f t="shared" si="4"/>
        <v>1</v>
      </c>
      <c r="AC35" s="1507">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1"/>
      <c r="M36" s="2013"/>
      <c r="N36" s="2013"/>
      <c r="O36" s="2020"/>
      <c r="P36" s="3695"/>
      <c r="Q36" s="1503">
        <f t="shared" si="11"/>
        <v>111</v>
      </c>
      <c r="R36" s="1504" t="s">
        <v>8</v>
      </c>
      <c r="S36" s="1505">
        <f t="shared" si="12"/>
        <v>100</v>
      </c>
      <c r="T36" s="1504" t="s">
        <v>8</v>
      </c>
      <c r="U36" s="1505">
        <f t="shared" si="13"/>
        <v>100</v>
      </c>
      <c r="V36" s="1504" t="s">
        <v>8</v>
      </c>
      <c r="W36" s="1505">
        <f t="shared" si="14"/>
        <v>100</v>
      </c>
      <c r="X36" s="1498"/>
      <c r="Y36" s="3695"/>
      <c r="Z36" s="1506">
        <f t="shared" si="15"/>
        <v>111</v>
      </c>
      <c r="AA36" s="1507">
        <f t="shared" si="3"/>
        <v>1</v>
      </c>
      <c r="AB36" s="1507">
        <f t="shared" si="4"/>
        <v>1</v>
      </c>
      <c r="AC36" s="1507">
        <f t="shared" si="5"/>
        <v>1</v>
      </c>
    </row>
    <row r="37" spans="1:29" ht="15">
      <c r="A37" s="1757" t="s">
        <v>2064</v>
      </c>
      <c r="B37" s="1758" t="s">
        <v>2065</v>
      </c>
      <c r="C37" s="2467" t="s">
        <v>1</v>
      </c>
      <c r="D37" s="2468"/>
      <c r="E37" s="2469"/>
      <c r="F37" s="2470"/>
      <c r="G37" s="2471"/>
      <c r="H37" s="2472"/>
      <c r="I37" s="2469"/>
      <c r="J37" s="2472"/>
      <c r="K37" s="1537"/>
      <c r="L37" s="2023"/>
      <c r="M37" s="2024"/>
      <c r="N37" s="2013"/>
      <c r="O37" s="2024"/>
      <c r="P37" s="3658" t="str">
        <f>A37</f>
        <v>成交单价</v>
      </c>
      <c r="Q37" s="3658"/>
      <c r="R37" s="3753">
        <f>E37</f>
        <v>0</v>
      </c>
      <c r="S37" s="3753"/>
      <c r="T37" s="3753">
        <f>G37</f>
        <v>0</v>
      </c>
      <c r="U37" s="3753"/>
      <c r="V37" s="3753">
        <f>I37</f>
        <v>0</v>
      </c>
      <c r="W37" s="3753"/>
      <c r="X37" s="1493"/>
      <c r="Y37" s="1512"/>
      <c r="Z37" s="1493"/>
      <c r="AA37" s="1493"/>
      <c r="AB37" s="1493"/>
      <c r="AC37" s="1493"/>
    </row>
    <row r="38" spans="1:29" ht="15.75" thickBot="1">
      <c r="A38" s="609" t="s">
        <v>2737</v>
      </c>
      <c r="B38" s="877"/>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58" t="str">
        <f>A38</f>
        <v>比较价格（元/平方米）</v>
      </c>
      <c r="Q38" s="3658"/>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493"/>
      <c r="Y38" s="1493"/>
      <c r="Z38" s="1493"/>
      <c r="AA38" s="1493"/>
      <c r="AB38" s="1493"/>
      <c r="AC38" s="1493"/>
    </row>
    <row r="39" spans="1:29" ht="15.75" thickBot="1">
      <c r="A39" s="613" t="s">
        <v>2896</v>
      </c>
      <c r="B39" s="614"/>
      <c r="C39" s="2475" t="e">
        <f>R39</f>
        <v>#DIV/0!</v>
      </c>
      <c r="D39" s="2475"/>
      <c r="E39" s="2475"/>
      <c r="F39" s="2475"/>
      <c r="G39" s="2475"/>
      <c r="H39" s="2475"/>
      <c r="I39" s="2475"/>
      <c r="J39" s="2475"/>
      <c r="K39" s="1538"/>
      <c r="L39" s="2023"/>
      <c r="M39" s="2024"/>
      <c r="N39" s="2024"/>
      <c r="O39" s="2024"/>
      <c r="P39" s="3655" t="str">
        <f>A39</f>
        <v>估价对象XX用房的比较价格（楼面单价，元/平方米）</v>
      </c>
      <c r="Q39" s="3656"/>
      <c r="R39" s="3752" t="e">
        <f>IF(F1="售价",ROUND(IF(D38="简单平均",AVERAGE(R38:W38),R38*F38+T38*H38+V38*J38),0),ROUND(IF(D38="简单平均",AVERAGE(R38:V38),R38*F38+T38*H38+V38*J38),1))</f>
        <v>#DIV/0!</v>
      </c>
      <c r="S39" s="3752"/>
      <c r="T39" s="3752"/>
      <c r="U39" s="3752"/>
      <c r="V39" s="3752"/>
      <c r="W39" s="3752"/>
      <c r="X39" s="1493"/>
      <c r="Y39" s="1493"/>
      <c r="Z39" s="1493"/>
      <c r="AA39" s="1493"/>
      <c r="AB39" s="1493"/>
      <c r="AC39" s="1493"/>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568</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7" t="s">
        <v>523</v>
      </c>
      <c r="B48" s="638"/>
      <c r="C48" s="2516" t="str">
        <f>YEAR(C7)&amp;"-"&amp;MONTH(C7)</f>
        <v>2021-6</v>
      </c>
      <c r="D48" s="2518">
        <f>EDATE(C48,-1)</f>
        <v>44317</v>
      </c>
      <c r="E48" s="2518">
        <f t="shared" ref="E48:O48" si="16">EDATE(D48,-1)</f>
        <v>44287</v>
      </c>
      <c r="F48" s="2518">
        <f t="shared" si="16"/>
        <v>44256</v>
      </c>
      <c r="G48" s="2518">
        <f t="shared" si="16"/>
        <v>44228</v>
      </c>
      <c r="H48" s="2518">
        <f t="shared" si="16"/>
        <v>44197</v>
      </c>
      <c r="I48" s="2518">
        <f t="shared" si="16"/>
        <v>44166</v>
      </c>
      <c r="J48" s="2518">
        <f t="shared" si="16"/>
        <v>44136</v>
      </c>
      <c r="K48" s="2518">
        <f t="shared" si="16"/>
        <v>44105</v>
      </c>
      <c r="L48" s="2518">
        <f t="shared" si="16"/>
        <v>44075</v>
      </c>
      <c r="M48" s="2518">
        <f t="shared" si="16"/>
        <v>44044</v>
      </c>
      <c r="N48" s="2518">
        <f t="shared" si="16"/>
        <v>44013</v>
      </c>
      <c r="O48" s="2518">
        <f t="shared" si="16"/>
        <v>43983</v>
      </c>
      <c r="P48" s="2038"/>
      <c r="Q48" s="2039"/>
      <c r="R48" s="2039"/>
      <c r="S48" s="2039"/>
      <c r="T48" s="2039"/>
      <c r="U48" s="2039"/>
      <c r="V48" s="2039"/>
      <c r="W48" s="2039"/>
      <c r="X48" s="2039"/>
      <c r="Y48" s="2039"/>
      <c r="Z48" s="2039"/>
      <c r="AA48" s="2039"/>
      <c r="AB48" s="2039"/>
      <c r="AC48" s="2039"/>
    </row>
    <row r="49" spans="1:29" s="1201" customFormat="1" ht="15">
      <c r="A49" s="639"/>
      <c r="B49" s="640"/>
      <c r="C49" s="2517">
        <v>100</v>
      </c>
      <c r="D49" s="642"/>
      <c r="E49" s="642"/>
      <c r="F49" s="642"/>
      <c r="G49" s="642"/>
      <c r="H49" s="642"/>
      <c r="I49" s="642"/>
      <c r="J49" s="642"/>
      <c r="K49" s="642"/>
      <c r="L49" s="642"/>
      <c r="M49" s="643"/>
      <c r="N49" s="642"/>
      <c r="O49" s="644"/>
      <c r="P49" s="2036"/>
      <c r="Q49" s="1902"/>
      <c r="R49" s="1902"/>
      <c r="S49" s="1902"/>
      <c r="T49" s="1902"/>
      <c r="U49" s="1902"/>
      <c r="V49" s="1902"/>
      <c r="W49" s="1902"/>
      <c r="X49" s="1902"/>
      <c r="Y49" s="1902"/>
      <c r="Z49" s="1902"/>
      <c r="AA49" s="1902"/>
      <c r="AB49" s="1902"/>
      <c r="AC49" s="1902"/>
    </row>
    <row r="50" spans="1:29" s="1201" customFormat="1" ht="15.75" thickBot="1">
      <c r="A50" s="645" t="s">
        <v>569</v>
      </c>
      <c r="B50" s="646"/>
      <c r="C50" s="647"/>
      <c r="D50" s="648"/>
      <c r="E50" s="648"/>
      <c r="F50" s="648"/>
      <c r="G50" s="648"/>
      <c r="H50" s="648"/>
      <c r="I50" s="648"/>
      <c r="J50" s="648"/>
      <c r="K50" s="648"/>
      <c r="L50" s="648"/>
      <c r="M50" s="649"/>
      <c r="N50" s="648"/>
      <c r="O50" s="650"/>
      <c r="P50" s="2036"/>
      <c r="Q50" s="2036"/>
      <c r="R50" s="1902"/>
      <c r="S50" s="1902"/>
      <c r="T50" s="1902"/>
      <c r="U50" s="1902"/>
      <c r="V50" s="1902"/>
      <c r="W50" s="1902"/>
      <c r="X50" s="1902"/>
      <c r="Y50" s="1902"/>
      <c r="Z50" s="1902"/>
      <c r="AA50" s="1902"/>
      <c r="AB50" s="1902"/>
      <c r="AC50" s="1902"/>
    </row>
    <row r="51" spans="1:29" s="1201" customFormat="1" ht="15">
      <c r="A51" s="651" t="s">
        <v>525</v>
      </c>
      <c r="B51" s="640"/>
      <c r="C51" s="652" t="s">
        <v>570</v>
      </c>
      <c r="D51" s="653"/>
      <c r="E51" s="653"/>
      <c r="F51" s="653"/>
      <c r="G51" s="653"/>
      <c r="H51" s="653"/>
      <c r="I51" s="653"/>
      <c r="J51" s="653"/>
      <c r="K51" s="653"/>
      <c r="L51" s="654"/>
      <c r="M51" s="655"/>
      <c r="N51" s="2040"/>
      <c r="O51" s="2040"/>
      <c r="P51" s="2041"/>
      <c r="Q51" s="2036"/>
      <c r="R51" s="1902"/>
      <c r="S51" s="1902"/>
      <c r="T51" s="1902"/>
      <c r="U51" s="1902"/>
      <c r="V51" s="1902"/>
      <c r="W51" s="1902"/>
      <c r="X51" s="1902"/>
      <c r="Y51" s="1902"/>
      <c r="Z51" s="1902"/>
      <c r="AA51" s="1902"/>
      <c r="AB51" s="1902"/>
      <c r="AC51" s="1902"/>
    </row>
    <row r="52" spans="1:29" s="1201" customFormat="1" ht="15.75" thickBot="1">
      <c r="A52" s="651"/>
      <c r="B52" s="640"/>
      <c r="C52" s="641">
        <v>100</v>
      </c>
      <c r="D52" s="642"/>
      <c r="E52" s="642"/>
      <c r="F52" s="642"/>
      <c r="G52" s="642"/>
      <c r="H52" s="642"/>
      <c r="I52" s="642"/>
      <c r="J52" s="642"/>
      <c r="K52" s="642"/>
      <c r="L52" s="642"/>
      <c r="M52" s="644"/>
      <c r="N52" s="2040"/>
      <c r="O52" s="2040"/>
      <c r="P52" s="2036"/>
      <c r="Q52" s="2036"/>
      <c r="R52" s="1902"/>
      <c r="S52" s="1902"/>
      <c r="T52" s="1902"/>
      <c r="U52" s="1902"/>
      <c r="V52" s="1902"/>
      <c r="W52" s="1902"/>
      <c r="X52" s="1902"/>
      <c r="Y52" s="1902"/>
      <c r="Z52" s="1902"/>
      <c r="AA52" s="1902"/>
      <c r="AB52" s="1902"/>
      <c r="AC52" s="1902"/>
    </row>
    <row r="53" spans="1:29">
      <c r="A53" s="656" t="s">
        <v>571</v>
      </c>
      <c r="B53" s="657" t="s">
        <v>528</v>
      </c>
      <c r="C53" s="696">
        <f>C9</f>
        <v>0</v>
      </c>
      <c r="D53" s="592"/>
      <c r="E53" s="592"/>
      <c r="F53" s="592"/>
      <c r="G53" s="592"/>
      <c r="H53" s="592"/>
      <c r="I53" s="592"/>
      <c r="J53" s="592"/>
      <c r="K53" s="658"/>
      <c r="L53" s="659"/>
      <c r="M53" s="660"/>
      <c r="N53" s="2042"/>
      <c r="O53" s="2042"/>
      <c r="P53" s="2043"/>
      <c r="Q53" s="2036"/>
      <c r="R53" s="2024"/>
      <c r="S53" s="2024"/>
      <c r="T53" s="2024"/>
      <c r="U53" s="2024"/>
      <c r="V53" s="2024"/>
      <c r="W53" s="2024"/>
      <c r="X53" s="2024"/>
      <c r="Y53" s="2024"/>
      <c r="Z53" s="2024"/>
      <c r="AA53" s="2024"/>
      <c r="AB53" s="2024"/>
      <c r="AC53" s="2024"/>
    </row>
    <row r="54" spans="1:29" ht="15.75" thickBot="1">
      <c r="A54" s="661"/>
      <c r="B54" s="662"/>
      <c r="C54" s="663"/>
      <c r="D54" s="663"/>
      <c r="E54" s="663"/>
      <c r="F54" s="663"/>
      <c r="G54" s="663"/>
      <c r="H54" s="663"/>
      <c r="I54" s="663"/>
      <c r="J54" s="663"/>
      <c r="K54" s="663"/>
      <c r="L54" s="663"/>
      <c r="M54" s="664"/>
      <c r="N54" s="2044"/>
      <c r="O54" s="2044"/>
      <c r="P54" s="2043"/>
      <c r="Q54" s="2036"/>
      <c r="R54" s="2024"/>
      <c r="S54" s="2024"/>
      <c r="T54" s="2024"/>
      <c r="U54" s="2024"/>
      <c r="V54" s="2024"/>
      <c r="W54" s="2024"/>
      <c r="X54" s="2024"/>
      <c r="Y54" s="2024"/>
      <c r="Z54" s="2024"/>
      <c r="AA54" s="2024"/>
      <c r="AB54" s="2024"/>
      <c r="AC54" s="2024"/>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2"/>
      <c r="O55" s="2042"/>
      <c r="P55" s="2043"/>
      <c r="Q55" s="2036"/>
      <c r="R55" s="2024"/>
      <c r="S55" s="2024"/>
      <c r="T55" s="2024"/>
      <c r="U55" s="2024"/>
      <c r="V55" s="2024"/>
      <c r="W55" s="2024"/>
      <c r="X55" s="2024"/>
      <c r="Y55" s="2024"/>
      <c r="Z55" s="2024"/>
      <c r="AA55" s="2024"/>
      <c r="AB55" s="2024"/>
      <c r="AC55" s="2024"/>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4"/>
      <c r="O56" s="2044"/>
      <c r="P56" s="2043"/>
      <c r="Q56" s="2036"/>
      <c r="R56" s="2024"/>
      <c r="S56" s="2024"/>
      <c r="T56" s="2024"/>
      <c r="U56" s="2024"/>
      <c r="V56" s="2024"/>
      <c r="W56" s="2024"/>
      <c r="X56" s="2024"/>
      <c r="Y56" s="2024"/>
      <c r="Z56" s="2024"/>
      <c r="AA56" s="2024"/>
      <c r="AB56" s="2024"/>
      <c r="AC56" s="2024"/>
    </row>
    <row r="57" spans="1:29" ht="15.75" thickTop="1">
      <c r="A57" s="661"/>
      <c r="B57" s="923">
        <f>B11</f>
        <v>111</v>
      </c>
      <c r="C57" s="535"/>
      <c r="D57" s="535"/>
      <c r="E57" s="535"/>
      <c r="F57" s="535"/>
      <c r="G57" s="535"/>
      <c r="H57" s="535"/>
      <c r="I57" s="535"/>
      <c r="J57" s="535"/>
      <c r="K57" s="676"/>
      <c r="L57" s="677"/>
      <c r="M57" s="678"/>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84"/>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9"/>
      <c r="B59" s="665">
        <f>B12</f>
        <v>111</v>
      </c>
      <c r="C59" s="535"/>
      <c r="D59" s="535"/>
      <c r="E59" s="535"/>
      <c r="F59" s="535"/>
      <c r="G59" s="680"/>
      <c r="H59" s="681"/>
      <c r="I59" s="681"/>
      <c r="J59" s="681"/>
      <c r="K59" s="681"/>
      <c r="L59" s="682"/>
      <c r="M59" s="683"/>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9"/>
      <c r="B60" s="670"/>
      <c r="C60" s="684"/>
      <c r="D60" s="663"/>
      <c r="E60" s="663"/>
      <c r="F60" s="663"/>
      <c r="G60" s="663"/>
      <c r="H60" s="663"/>
      <c r="I60" s="663"/>
      <c r="J60" s="663"/>
      <c r="K60" s="663"/>
      <c r="L60" s="663"/>
      <c r="M60" s="664"/>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9"/>
      <c r="B61" s="665">
        <f>B13</f>
        <v>111</v>
      </c>
      <c r="C61" s="680"/>
      <c r="D61" s="680"/>
      <c r="E61" s="680"/>
      <c r="F61" s="680"/>
      <c r="G61" s="680"/>
      <c r="H61" s="681"/>
      <c r="I61" s="681"/>
      <c r="J61" s="681"/>
      <c r="K61" s="681"/>
      <c r="L61" s="682"/>
      <c r="M61" s="683"/>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9"/>
      <c r="B62" s="670"/>
      <c r="C62" s="684"/>
      <c r="D62" s="684"/>
      <c r="E62" s="684"/>
      <c r="F62" s="684"/>
      <c r="G62" s="684"/>
      <c r="H62" s="685"/>
      <c r="I62" s="685"/>
      <c r="J62" s="685"/>
      <c r="K62" s="685"/>
      <c r="L62" s="685"/>
      <c r="M62" s="686"/>
      <c r="N62" s="2045"/>
      <c r="O62" s="2045"/>
      <c r="P62" s="2046"/>
      <c r="Q62" s="2047"/>
      <c r="R62" s="2048"/>
      <c r="S62" s="2048"/>
      <c r="T62" s="2048"/>
      <c r="U62" s="2048"/>
      <c r="V62" s="2048"/>
      <c r="W62" s="2048"/>
      <c r="X62" s="2048"/>
      <c r="Y62" s="2048"/>
      <c r="Z62" s="2048"/>
      <c r="AA62" s="2048"/>
      <c r="AB62" s="2048"/>
      <c r="AC62" s="2048"/>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2"/>
      <c r="O63" s="2042"/>
      <c r="P63" s="2052"/>
      <c r="Q63" s="2036"/>
      <c r="R63" s="2024"/>
      <c r="S63" s="2024"/>
      <c r="T63" s="2024"/>
      <c r="U63" s="2024"/>
      <c r="V63" s="2024"/>
      <c r="W63" s="2024"/>
      <c r="X63" s="2024"/>
      <c r="Y63" s="2024"/>
      <c r="Z63" s="2024"/>
      <c r="AA63" s="2024"/>
      <c r="AB63" s="2024"/>
      <c r="AC63" s="2024"/>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1807" t="s">
        <v>2536</v>
      </c>
      <c r="C65" s="700" t="s">
        <v>573</v>
      </c>
      <c r="D65" s="700" t="s">
        <v>574</v>
      </c>
      <c r="E65" s="700" t="s">
        <v>575</v>
      </c>
      <c r="F65" s="700" t="s">
        <v>576</v>
      </c>
      <c r="G65" s="700" t="s">
        <v>577</v>
      </c>
      <c r="H65" s="666"/>
      <c r="I65" s="666"/>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2438" t="s">
        <v>2537</v>
      </c>
      <c r="C67" s="2439" t="s">
        <v>2538</v>
      </c>
      <c r="D67" s="2439" t="s">
        <v>2539</v>
      </c>
      <c r="E67" s="2439" t="s">
        <v>2540</v>
      </c>
      <c r="F67" s="2439" t="s">
        <v>2541</v>
      </c>
      <c r="G67" s="2439" t="s">
        <v>2542</v>
      </c>
      <c r="H67" s="666"/>
      <c r="I67" s="666"/>
      <c r="J67" s="666"/>
      <c r="K67" s="666"/>
      <c r="L67" s="666"/>
      <c r="M67" s="2442"/>
      <c r="N67" s="2044"/>
      <c r="O67" s="2044"/>
      <c r="P67" s="2043"/>
      <c r="Q67" s="2036"/>
      <c r="R67" s="2024"/>
      <c r="S67" s="2024"/>
      <c r="T67" s="2024"/>
      <c r="U67" s="2024"/>
      <c r="V67" s="2024"/>
      <c r="W67" s="2024"/>
      <c r="X67" s="2024"/>
      <c r="Y67" s="2024"/>
      <c r="Z67" s="2024"/>
      <c r="AA67" s="2024"/>
      <c r="AB67" s="2024"/>
      <c r="AC67" s="2024"/>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738</v>
      </c>
      <c r="C69" s="700" t="s">
        <v>573</v>
      </c>
      <c r="D69" s="700" t="s">
        <v>574</v>
      </c>
      <c r="E69" s="700" t="s">
        <v>575</v>
      </c>
      <c r="F69" s="700" t="s">
        <v>576</v>
      </c>
      <c r="G69" s="700" t="s">
        <v>577</v>
      </c>
      <c r="H69" s="666"/>
      <c r="I69" s="666"/>
      <c r="J69" s="666"/>
      <c r="K69" s="667"/>
      <c r="L69" s="668"/>
      <c r="M69" s="669"/>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ht="15.75" thickTop="1">
      <c r="A71" s="661"/>
      <c r="B71" s="665" t="s">
        <v>739</v>
      </c>
      <c r="C71" s="680"/>
      <c r="D71" s="680"/>
      <c r="E71" s="680"/>
      <c r="F71" s="680"/>
      <c r="G71" s="680"/>
      <c r="H71" s="710"/>
      <c r="I71" s="710"/>
      <c r="J71" s="710"/>
      <c r="K71" s="711"/>
      <c r="L71" s="712"/>
      <c r="M71" s="713"/>
      <c r="N71" s="2042"/>
      <c r="O71" s="2042"/>
      <c r="P71" s="2043"/>
      <c r="Q71" s="2036"/>
      <c r="R71" s="2024"/>
      <c r="S71" s="2024"/>
      <c r="T71" s="2024"/>
      <c r="U71" s="2024"/>
      <c r="V71" s="2024"/>
      <c r="W71" s="2024"/>
      <c r="X71" s="2024"/>
      <c r="Y71" s="2024"/>
      <c r="Z71" s="2024"/>
      <c r="AA71" s="2024"/>
      <c r="AB71" s="2024"/>
      <c r="AC71" s="2024"/>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4"/>
      <c r="O72" s="2044"/>
      <c r="P72" s="2043"/>
      <c r="Q72" s="2036"/>
      <c r="R72" s="2024"/>
      <c r="S72" s="2024"/>
      <c r="T72" s="2024"/>
      <c r="U72" s="2024"/>
      <c r="V72" s="2024"/>
      <c r="W72" s="2024"/>
      <c r="X72" s="2024"/>
      <c r="Y72" s="2024"/>
      <c r="Z72" s="2024"/>
      <c r="AA72" s="2024"/>
      <c r="AB72" s="2024"/>
      <c r="AC72" s="2024"/>
    </row>
    <row r="73" spans="1:29" s="1201" customFormat="1" ht="15.75" thickTop="1">
      <c r="A73" s="701"/>
      <c r="B73" s="665">
        <f>B23</f>
        <v>111</v>
      </c>
      <c r="C73" s="535"/>
      <c r="D73" s="535"/>
      <c r="E73" s="535"/>
      <c r="F73" s="535"/>
      <c r="G73" s="680"/>
      <c r="H73" s="680"/>
      <c r="I73" s="680"/>
      <c r="J73" s="680"/>
      <c r="K73" s="680"/>
      <c r="L73" s="879"/>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01" customFormat="1" ht="15.75" thickTop="1">
      <c r="A75" s="701"/>
      <c r="B75" s="665">
        <f>B24</f>
        <v>111</v>
      </c>
      <c r="C75" s="535"/>
      <c r="D75" s="535"/>
      <c r="E75" s="535"/>
      <c r="F75" s="535"/>
      <c r="G75" s="680"/>
      <c r="H75" s="680"/>
      <c r="I75" s="680"/>
      <c r="J75" s="680"/>
      <c r="K75" s="680"/>
      <c r="L75" s="680"/>
      <c r="M75" s="880"/>
      <c r="N75" s="2040"/>
      <c r="O75" s="2040"/>
      <c r="P75" s="2043"/>
      <c r="Q75" s="2036"/>
      <c r="R75" s="1902"/>
      <c r="S75" s="1902"/>
      <c r="T75" s="1902"/>
      <c r="U75" s="1902"/>
      <c r="V75" s="1902"/>
      <c r="W75" s="1902"/>
      <c r="X75" s="1902"/>
      <c r="Y75" s="1902"/>
      <c r="Z75" s="1902"/>
      <c r="AA75" s="1902"/>
      <c r="AB75" s="1902"/>
      <c r="AC75" s="1902"/>
    </row>
    <row r="76" spans="1:29" s="1201" customFormat="1" ht="15.75" thickBot="1">
      <c r="A76" s="701"/>
      <c r="B76" s="670"/>
      <c r="C76" s="684"/>
      <c r="D76" s="663"/>
      <c r="E76" s="663"/>
      <c r="F76" s="663"/>
      <c r="G76" s="663"/>
      <c r="H76" s="663"/>
      <c r="I76" s="663"/>
      <c r="J76" s="663"/>
      <c r="K76" s="663"/>
      <c r="L76" s="663"/>
      <c r="M76" s="664"/>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9"/>
      <c r="B77" s="665">
        <f>B25</f>
        <v>111</v>
      </c>
      <c r="C77" s="680"/>
      <c r="D77" s="680"/>
      <c r="E77" s="680"/>
      <c r="F77" s="680"/>
      <c r="G77" s="680"/>
      <c r="H77" s="681"/>
      <c r="I77" s="681"/>
      <c r="J77" s="681"/>
      <c r="K77" s="681"/>
      <c r="L77" s="682"/>
      <c r="M77" s="683"/>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9"/>
      <c r="B78" s="670"/>
      <c r="C78" s="684"/>
      <c r="D78" s="684"/>
      <c r="E78" s="684"/>
      <c r="F78" s="684"/>
      <c r="G78" s="663"/>
      <c r="H78" s="663"/>
      <c r="I78" s="663"/>
      <c r="J78" s="663"/>
      <c r="K78" s="663"/>
      <c r="L78" s="663"/>
      <c r="M78" s="664"/>
      <c r="N78" s="2045"/>
      <c r="O78" s="2045"/>
      <c r="P78" s="2046"/>
      <c r="Q78" s="2047"/>
      <c r="R78" s="2048"/>
      <c r="S78" s="2048"/>
      <c r="T78" s="2048"/>
      <c r="U78" s="2048"/>
      <c r="V78" s="2048"/>
      <c r="W78" s="2048"/>
      <c r="X78" s="2048"/>
      <c r="Y78" s="2048"/>
      <c r="Z78" s="2048"/>
      <c r="AA78" s="2048"/>
      <c r="AB78" s="2048"/>
      <c r="AC78" s="2048"/>
    </row>
    <row r="79" spans="1:29" ht="27.75" thickTop="1">
      <c r="A79" s="656" t="s">
        <v>545</v>
      </c>
      <c r="B79" s="657" t="s">
        <v>808</v>
      </c>
      <c r="C79" s="696">
        <f>C26</f>
        <v>0</v>
      </c>
      <c r="D79" s="592"/>
      <c r="E79" s="592"/>
      <c r="F79" s="592"/>
      <c r="G79" s="592"/>
      <c r="H79" s="592"/>
      <c r="I79" s="592"/>
      <c r="J79" s="592"/>
      <c r="K79" s="658"/>
      <c r="L79" s="659"/>
      <c r="M79" s="660"/>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1"/>
      <c r="B81" s="665"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9"/>
      <c r="B82" s="670"/>
      <c r="C82" s="684"/>
      <c r="D82" s="663"/>
      <c r="E82" s="663"/>
      <c r="F82" s="663"/>
      <c r="G82" s="663"/>
      <c r="H82" s="663"/>
      <c r="I82" s="663"/>
      <c r="J82" s="663"/>
      <c r="K82" s="663"/>
      <c r="L82" s="663"/>
      <c r="M82" s="664"/>
      <c r="N82" s="2044"/>
      <c r="O82" s="2044"/>
      <c r="P82" s="2046"/>
      <c r="Q82" s="2047"/>
      <c r="R82" s="2048"/>
      <c r="S82" s="2048"/>
      <c r="T82" s="2048"/>
      <c r="U82" s="2048"/>
      <c r="V82" s="2048"/>
      <c r="W82" s="2048"/>
      <c r="X82" s="2048"/>
      <c r="Y82" s="2048"/>
      <c r="Z82" s="2048"/>
      <c r="AA82" s="2048"/>
      <c r="AB82" s="2048"/>
      <c r="AC82" s="2048"/>
    </row>
    <row r="83" spans="1:29" ht="15" thickTop="1">
      <c r="A83" s="727"/>
      <c r="B83" s="665" t="s">
        <v>745</v>
      </c>
      <c r="C83" s="680"/>
      <c r="D83" s="680"/>
      <c r="E83" s="710"/>
      <c r="F83" s="710"/>
      <c r="G83" s="710"/>
      <c r="H83" s="710"/>
      <c r="I83" s="710"/>
      <c r="J83" s="710"/>
      <c r="K83" s="711"/>
      <c r="L83" s="712"/>
      <c r="M83" s="713"/>
      <c r="N83" s="2042"/>
      <c r="O83" s="2042"/>
      <c r="P83" s="2043"/>
      <c r="Q83" s="2036"/>
      <c r="R83" s="2024"/>
      <c r="S83" s="2024"/>
      <c r="T83" s="2024"/>
      <c r="U83" s="2024"/>
      <c r="V83" s="2024"/>
      <c r="W83" s="2024"/>
      <c r="X83" s="2024"/>
      <c r="Y83" s="2024"/>
      <c r="Z83" s="2024"/>
      <c r="AA83" s="2024"/>
      <c r="AB83" s="2024"/>
      <c r="AC83" s="2024"/>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2"/>
      <c r="O85" s="2042"/>
      <c r="P85" s="2043"/>
      <c r="Q85" s="2036"/>
      <c r="R85" s="2024"/>
      <c r="S85" s="2024"/>
      <c r="T85" s="2024"/>
      <c r="U85" s="2024"/>
      <c r="V85" s="2024"/>
      <c r="W85" s="2024"/>
      <c r="X85" s="2024"/>
      <c r="Y85" s="2024"/>
      <c r="Z85" s="2024"/>
      <c r="AA85" s="2024"/>
      <c r="AB85" s="2024"/>
      <c r="AC85" s="2024"/>
    </row>
    <row r="86" spans="1:29">
      <c r="A86" s="727"/>
      <c r="B86" s="673"/>
      <c r="C86" s="883">
        <v>0.5</v>
      </c>
      <c r="D86" s="883">
        <v>0.6</v>
      </c>
      <c r="E86" s="883">
        <v>0.7</v>
      </c>
      <c r="F86" s="883">
        <v>0.8</v>
      </c>
      <c r="G86" s="883">
        <v>0.9</v>
      </c>
      <c r="H86" s="883">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7"/>
      <c r="B88" s="673" t="s">
        <v>811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20"/>
      <c r="B91" s="673"/>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5"/>
      <c r="O92" s="2045"/>
      <c r="P92" s="2046"/>
      <c r="Q92" s="2047"/>
      <c r="R92" s="2048"/>
      <c r="S92" s="2048"/>
      <c r="T92" s="2048"/>
      <c r="U92" s="2048"/>
      <c r="V92" s="2048"/>
      <c r="W92" s="2048"/>
      <c r="X92" s="2048"/>
      <c r="Y92" s="2048"/>
      <c r="Z92" s="2048"/>
      <c r="AA92" s="2048"/>
      <c r="AB92" s="2048"/>
      <c r="AC92" s="2048"/>
    </row>
    <row r="93" spans="1:29" ht="15" thickTop="1">
      <c r="A93" s="727"/>
      <c r="B93" s="665" t="s">
        <v>813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814</v>
      </c>
      <c r="C95" s="592"/>
      <c r="D95" s="592"/>
      <c r="E95" s="592"/>
      <c r="F95" s="592"/>
      <c r="G95" s="592"/>
      <c r="H95" s="592"/>
      <c r="I95" s="592"/>
      <c r="J95" s="592"/>
      <c r="K95" s="658"/>
      <c r="L95" s="659"/>
      <c r="M95" s="660"/>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4"/>
      <c r="O96" s="2044"/>
      <c r="P96" s="2043"/>
      <c r="Q96" s="2036"/>
      <c r="R96" s="2024"/>
      <c r="S96" s="2024"/>
      <c r="T96" s="2024"/>
      <c r="U96" s="2024"/>
      <c r="V96" s="2024"/>
      <c r="W96" s="2024"/>
      <c r="X96" s="2024"/>
      <c r="Y96" s="2024"/>
      <c r="Z96" s="2024"/>
      <c r="AA96" s="2024"/>
      <c r="AB96" s="2024"/>
      <c r="AC96" s="2024"/>
    </row>
    <row r="97" spans="1:29" ht="15" thickTop="1">
      <c r="A97" s="727"/>
      <c r="B97" s="905">
        <f>B34</f>
        <v>111</v>
      </c>
      <c r="C97" s="535"/>
      <c r="D97" s="535"/>
      <c r="E97" s="535"/>
      <c r="F97" s="535"/>
      <c r="G97" s="680"/>
      <c r="H97" s="681"/>
      <c r="I97" s="681"/>
      <c r="J97" s="681"/>
      <c r="K97" s="681"/>
      <c r="L97" s="682"/>
      <c r="M97" s="683"/>
      <c r="N97" s="2044"/>
      <c r="O97" s="2044"/>
      <c r="P97" s="2083"/>
      <c r="Q97" s="2084"/>
      <c r="R97" s="2024"/>
      <c r="S97" s="2024"/>
      <c r="T97" s="2024"/>
      <c r="U97" s="2024"/>
      <c r="V97" s="2024"/>
      <c r="W97" s="2024"/>
      <c r="X97" s="2024"/>
      <c r="Y97" s="2024"/>
      <c r="Z97" s="2024"/>
      <c r="AA97" s="2024"/>
      <c r="AB97" s="2024"/>
      <c r="AC97" s="2024"/>
    </row>
    <row r="98" spans="1:29" ht="15.75" thickBot="1">
      <c r="A98" s="661"/>
      <c r="B98" s="670"/>
      <c r="C98" s="684"/>
      <c r="D98" s="663"/>
      <c r="E98" s="663"/>
      <c r="F98" s="663"/>
      <c r="G98" s="684"/>
      <c r="H98" s="685"/>
      <c r="I98" s="685"/>
      <c r="J98" s="685"/>
      <c r="K98" s="685"/>
      <c r="L98" s="685"/>
      <c r="M98" s="686"/>
      <c r="N98" s="2044"/>
      <c r="O98" s="2044"/>
      <c r="P98" s="2043"/>
      <c r="Q98" s="2036"/>
      <c r="R98" s="2024"/>
      <c r="S98" s="2024"/>
      <c r="T98" s="2024"/>
      <c r="U98" s="2024"/>
      <c r="V98" s="2024"/>
      <c r="W98" s="2024"/>
      <c r="X98" s="2024"/>
      <c r="Y98" s="2024"/>
      <c r="Z98" s="2024"/>
      <c r="AA98" s="2024"/>
      <c r="AB98" s="2024"/>
      <c r="AC98" s="2024"/>
    </row>
    <row r="99" spans="1:29" s="1291" customFormat="1" ht="15" thickTop="1">
      <c r="A99" s="720"/>
      <c r="B99" s="665">
        <f>B35</f>
        <v>111</v>
      </c>
      <c r="C99" s="535"/>
      <c r="D99" s="535"/>
      <c r="E99" s="535"/>
      <c r="F99" s="535"/>
      <c r="G99" s="680"/>
      <c r="H99" s="681"/>
      <c r="I99" s="681"/>
      <c r="J99" s="681"/>
      <c r="K99" s="681"/>
      <c r="L99" s="682"/>
      <c r="M99" s="683"/>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9"/>
      <c r="B100" s="662"/>
      <c r="C100" s="684"/>
      <c r="D100" s="663"/>
      <c r="E100" s="663"/>
      <c r="F100" s="663"/>
      <c r="G100" s="684"/>
      <c r="H100" s="685"/>
      <c r="I100" s="685"/>
      <c r="J100" s="685"/>
      <c r="K100" s="685"/>
      <c r="L100" s="685"/>
      <c r="M100" s="686"/>
      <c r="N100" s="2045"/>
      <c r="O100" s="2045"/>
      <c r="P100" s="2046"/>
      <c r="Q100" s="2047"/>
      <c r="R100" s="2048"/>
      <c r="S100" s="2048"/>
      <c r="T100" s="2048"/>
      <c r="U100" s="2048"/>
      <c r="V100" s="2048"/>
      <c r="W100" s="2048"/>
      <c r="X100" s="2048"/>
      <c r="Y100" s="2048"/>
      <c r="Z100" s="2048"/>
      <c r="AA100" s="2048"/>
      <c r="AB100" s="2048"/>
      <c r="AC100" s="2048"/>
    </row>
    <row r="101" spans="1:29" ht="15" thickTop="1">
      <c r="A101" s="727"/>
      <c r="B101" s="665">
        <f>B36</f>
        <v>111</v>
      </c>
      <c r="C101" s="680"/>
      <c r="D101" s="680"/>
      <c r="E101" s="680"/>
      <c r="F101" s="680"/>
      <c r="G101" s="680"/>
      <c r="H101" s="681"/>
      <c r="I101" s="681"/>
      <c r="J101" s="681"/>
      <c r="K101" s="681"/>
      <c r="L101" s="682"/>
      <c r="M101" s="683"/>
      <c r="N101" s="2042"/>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84"/>
      <c r="D102" s="684"/>
      <c r="E102" s="684"/>
      <c r="F102" s="684"/>
      <c r="G102" s="684"/>
      <c r="H102" s="685"/>
      <c r="I102" s="685"/>
      <c r="J102" s="685"/>
      <c r="K102" s="685"/>
      <c r="L102" s="685"/>
      <c r="M102" s="686"/>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C37</f>
        <v>#DIV/0!</v>
      </c>
      <c r="C3" s="841" t="s">
        <v>790</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64" t="s">
        <v>792</v>
      </c>
      <c r="D4" s="3665"/>
      <c r="E4" s="3698" t="s">
        <v>793</v>
      </c>
      <c r="F4" s="3699"/>
      <c r="G4" s="3664" t="s">
        <v>794</v>
      </c>
      <c r="H4" s="3665"/>
      <c r="I4" s="3664" t="s">
        <v>795</v>
      </c>
      <c r="J4" s="3665"/>
      <c r="K4" s="508" t="s">
        <v>796</v>
      </c>
      <c r="L4" s="2012"/>
      <c r="M4" s="2013"/>
      <c r="N4" s="2013"/>
      <c r="O4" s="2013"/>
      <c r="P4" s="3666" t="s">
        <v>797</v>
      </c>
      <c r="Q4" s="3667"/>
      <c r="R4" s="3672" t="s">
        <v>793</v>
      </c>
      <c r="S4" s="3673"/>
      <c r="T4" s="3672" t="s">
        <v>794</v>
      </c>
      <c r="U4" s="3673"/>
      <c r="V4" s="3659" t="s">
        <v>795</v>
      </c>
      <c r="W4" s="3659"/>
      <c r="X4" s="1498"/>
      <c r="Y4" s="3672" t="s">
        <v>797</v>
      </c>
      <c r="Z4" s="3673"/>
      <c r="AA4" s="3661" t="s">
        <v>793</v>
      </c>
      <c r="AB4" s="3662" t="s">
        <v>794</v>
      </c>
      <c r="AC4" s="3661" t="s">
        <v>795</v>
      </c>
    </row>
    <row r="5" spans="1:29" ht="15">
      <c r="A5" s="509"/>
      <c r="B5" s="510"/>
      <c r="C5" s="3680" t="s">
        <v>2890</v>
      </c>
      <c r="D5" s="3681"/>
      <c r="E5" s="3700" t="s">
        <v>2891</v>
      </c>
      <c r="F5" s="3701"/>
      <c r="G5" s="3680" t="s">
        <v>2892</v>
      </c>
      <c r="H5" s="3681"/>
      <c r="I5" s="3680" t="s">
        <v>2893</v>
      </c>
      <c r="J5" s="3681"/>
      <c r="K5" s="508"/>
      <c r="L5" s="2012"/>
      <c r="M5" s="2013"/>
      <c r="N5" s="2013"/>
      <c r="O5" s="2013"/>
      <c r="P5" s="3668"/>
      <c r="Q5" s="3669"/>
      <c r="R5" s="3674"/>
      <c r="S5" s="3675"/>
      <c r="T5" s="3674"/>
      <c r="U5" s="3675"/>
      <c r="V5" s="3659"/>
      <c r="W5" s="3659"/>
      <c r="X5" s="1498"/>
      <c r="Y5" s="3674"/>
      <c r="Z5" s="3675"/>
      <c r="AA5" s="3662"/>
      <c r="AB5" s="3662"/>
      <c r="AC5" s="3662"/>
    </row>
    <row r="6" spans="1:29" ht="15.75" thickBot="1">
      <c r="A6" s="511"/>
      <c r="B6" s="512"/>
      <c r="C6" s="3678" t="s">
        <v>2894</v>
      </c>
      <c r="D6" s="3679"/>
      <c r="E6" s="3696" t="s">
        <v>2894</v>
      </c>
      <c r="F6" s="3697"/>
      <c r="G6" s="3678" t="s">
        <v>2894</v>
      </c>
      <c r="H6" s="3679"/>
      <c r="I6" s="3678" t="s">
        <v>2894</v>
      </c>
      <c r="J6" s="3679"/>
      <c r="K6" s="508" t="s">
        <v>522</v>
      </c>
      <c r="L6" s="2012"/>
      <c r="M6" s="2013"/>
      <c r="N6" s="2013"/>
      <c r="O6" s="2013"/>
      <c r="P6" s="3670"/>
      <c r="Q6" s="3671"/>
      <c r="R6" s="3674"/>
      <c r="S6" s="3675"/>
      <c r="T6" s="3676"/>
      <c r="U6" s="3677"/>
      <c r="V6" s="3659"/>
      <c r="W6" s="3659"/>
      <c r="X6" s="1498"/>
      <c r="Y6" s="3676"/>
      <c r="Z6" s="3677"/>
      <c r="AA6" s="3663"/>
      <c r="AB6" s="3663"/>
      <c r="AC6" s="3663"/>
    </row>
    <row r="7" spans="1:29" s="1201" customFormat="1" ht="15.75" thickBot="1">
      <c r="A7" s="2626"/>
      <c r="B7" s="2633" t="s">
        <v>523</v>
      </c>
      <c r="C7" s="513">
        <f>'数据-取费表'!B2</f>
        <v>44377</v>
      </c>
      <c r="D7" s="514">
        <v>100</v>
      </c>
      <c r="E7" s="515"/>
      <c r="F7" s="516">
        <f>SUMIF(46:46,YEAR(E7)&amp;"-"&amp;MONTH(E7),47:47)</f>
        <v>0</v>
      </c>
      <c r="G7" s="517"/>
      <c r="H7" s="514">
        <f>SUMIF(46:46,YEAR(G7)&amp;"-"&amp;MONTH(G7),47:47)</f>
        <v>0</v>
      </c>
      <c r="I7" s="517"/>
      <c r="J7" s="514">
        <f>SUMIF(46:46,YEAR(I7)&amp;"-"&amp;MONTH(I7),47:47)</f>
        <v>0</v>
      </c>
      <c r="K7" s="518"/>
      <c r="L7" s="2014"/>
      <c r="M7" s="2015"/>
      <c r="N7" s="2015"/>
      <c r="O7" s="2015"/>
      <c r="P7" s="3689" t="s">
        <v>524</v>
      </c>
      <c r="Q7" s="3691"/>
      <c r="R7" s="1499" t="s">
        <v>8</v>
      </c>
      <c r="S7" s="1500">
        <f t="shared" ref="S7:S14" si="0">F7</f>
        <v>0</v>
      </c>
      <c r="T7" s="1499" t="s">
        <v>8</v>
      </c>
      <c r="U7" s="1500">
        <f t="shared" ref="U7:U14" si="1">H7</f>
        <v>0</v>
      </c>
      <c r="V7" s="1499" t="s">
        <v>8</v>
      </c>
      <c r="W7" s="1500">
        <f t="shared" ref="W7:W14" si="2">J7</f>
        <v>0</v>
      </c>
      <c r="X7" s="1501"/>
      <c r="Y7" s="3689" t="s">
        <v>524</v>
      </c>
      <c r="Z7" s="3690"/>
      <c r="AA7" s="1502" t="e">
        <f>D7/F7</f>
        <v>#DIV/0!</v>
      </c>
      <c r="AB7" s="1502" t="e">
        <f>D7/H7</f>
        <v>#DIV/0!</v>
      </c>
      <c r="AC7" s="1502" t="e">
        <f>D7/J7</f>
        <v>#DIV/0!</v>
      </c>
    </row>
    <row r="8" spans="1:29" s="1201" customFormat="1" ht="15.75" thickBot="1">
      <c r="A8" s="2627"/>
      <c r="B8" s="2634" t="s">
        <v>525</v>
      </c>
      <c r="C8" s="519" t="s">
        <v>570</v>
      </c>
      <c r="D8" s="514">
        <v>100</v>
      </c>
      <c r="E8" s="519"/>
      <c r="F8" s="516">
        <f>SUMIF(49:49,E8,50:50)-SUMIF(49:49,C8,50:50)+100</f>
        <v>0</v>
      </c>
      <c r="G8" s="519"/>
      <c r="H8" s="514">
        <f>SUMIF(49:49,G8,50:50)-SUMIF(49:49,C8,50:50)+100</f>
        <v>0</v>
      </c>
      <c r="I8" s="519"/>
      <c r="J8" s="514">
        <f>SUMIF(49:49,I8,50:50)-SUMIF(49:49,C8,50:50)+100</f>
        <v>0</v>
      </c>
      <c r="K8" s="518"/>
      <c r="L8" s="2014"/>
      <c r="M8" s="2015"/>
      <c r="N8" s="2015"/>
      <c r="O8" s="2015"/>
      <c r="P8" s="3689" t="s">
        <v>527</v>
      </c>
      <c r="Q8" s="3690"/>
      <c r="R8" s="1499" t="s">
        <v>8</v>
      </c>
      <c r="S8" s="1500">
        <f t="shared" si="0"/>
        <v>0</v>
      </c>
      <c r="T8" s="1499" t="s">
        <v>8</v>
      </c>
      <c r="U8" s="1500">
        <f t="shared" si="1"/>
        <v>0</v>
      </c>
      <c r="V8" s="1499" t="s">
        <v>8</v>
      </c>
      <c r="W8" s="1500">
        <f t="shared" si="2"/>
        <v>0</v>
      </c>
      <c r="X8" s="1501"/>
      <c r="Y8" s="3689" t="s">
        <v>527</v>
      </c>
      <c r="Z8" s="3690"/>
      <c r="AA8" s="1502" t="e">
        <f t="shared" ref="AA8:AA34" si="3">D8/F8</f>
        <v>#DIV/0!</v>
      </c>
      <c r="AB8" s="1502" t="e">
        <f t="shared" ref="AB8:AB34" si="4">D8/H8</f>
        <v>#DIV/0!</v>
      </c>
      <c r="AC8" s="1502" t="e">
        <f t="shared" ref="AC8:AC34" si="5">D8/J8</f>
        <v>#DIV/0!</v>
      </c>
    </row>
    <row r="9" spans="1:29" s="1201" customFormat="1" ht="15">
      <c r="A9" s="2628"/>
      <c r="B9" s="2635" t="s">
        <v>2733</v>
      </c>
      <c r="C9" s="846"/>
      <c r="D9" s="252">
        <v>100</v>
      </c>
      <c r="E9" s="849"/>
      <c r="F9" s="252">
        <f>SUMIF(51:51,E9,52:52)-SUMIF(51:51,C9,52:52)+100</f>
        <v>100</v>
      </c>
      <c r="G9" s="849"/>
      <c r="H9" s="252">
        <f>SUMIF(51:51,G9,52:52)-SUMIF(51:51,C9,52:52)+100</f>
        <v>100</v>
      </c>
      <c r="I9" s="849"/>
      <c r="J9" s="252">
        <f>SUMIF(51:51,I9,52:52)-SUMIF(51:51,C9,52:52)+100</f>
        <v>100</v>
      </c>
      <c r="K9" s="518"/>
      <c r="L9" s="2014"/>
      <c r="M9" s="2015"/>
      <c r="N9" s="2015"/>
      <c r="O9" s="2016"/>
      <c r="P9" s="3658" t="s">
        <v>529</v>
      </c>
      <c r="Q9" s="1132" t="str">
        <f t="shared" ref="Q9:Q14" si="6">B9</f>
        <v>用途</v>
      </c>
      <c r="R9" s="1499" t="s">
        <v>8</v>
      </c>
      <c r="S9" s="1500">
        <f t="shared" si="0"/>
        <v>100</v>
      </c>
      <c r="T9" s="1499" t="s">
        <v>8</v>
      </c>
      <c r="U9" s="1500">
        <f t="shared" si="1"/>
        <v>100</v>
      </c>
      <c r="V9" s="1499" t="s">
        <v>8</v>
      </c>
      <c r="W9" s="1500">
        <f t="shared" si="2"/>
        <v>100</v>
      </c>
      <c r="X9" s="1501"/>
      <c r="Y9" s="3604"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SUMIF(53:53,E10,54:54)-SUMIF(53:53,C10,54:54)+100</f>
        <v>100</v>
      </c>
      <c r="G10" s="851"/>
      <c r="H10" s="253">
        <f>SUMIF(53:53,G10,54:54)-SUMIF(53:53,C10,54:54)+100</f>
        <v>100</v>
      </c>
      <c r="I10" s="850"/>
      <c r="J10" s="253">
        <f>SUMIF(53:53,I10,54:54)-SUMIF(53:53,C10,54:54)+100</f>
        <v>100</v>
      </c>
      <c r="K10" s="578"/>
      <c r="L10" s="2017"/>
      <c r="M10" s="2056"/>
      <c r="N10" s="2056"/>
      <c r="O10" s="2018"/>
      <c r="P10" s="3658"/>
      <c r="Q10" s="1132" t="str">
        <f t="shared" si="6"/>
        <v>土地使用年限（年）</v>
      </c>
      <c r="R10" s="1499" t="s">
        <v>8</v>
      </c>
      <c r="S10" s="1500">
        <f t="shared" si="0"/>
        <v>100</v>
      </c>
      <c r="T10" s="1499" t="s">
        <v>8</v>
      </c>
      <c r="U10" s="1500">
        <f t="shared" si="1"/>
        <v>100</v>
      </c>
      <c r="V10" s="1499" t="s">
        <v>8</v>
      </c>
      <c r="W10" s="1500">
        <f t="shared" si="2"/>
        <v>100</v>
      </c>
      <c r="X10" s="1501"/>
      <c r="Y10" s="3604"/>
      <c r="Z10" s="1131" t="str">
        <f t="shared" si="7"/>
        <v>土地使用年限（年）</v>
      </c>
      <c r="AA10" s="1502">
        <f t="shared" si="3"/>
        <v>1</v>
      </c>
      <c r="AB10" s="1502">
        <f t="shared" si="4"/>
        <v>1</v>
      </c>
      <c r="AC10" s="1502">
        <f t="shared" si="5"/>
        <v>1</v>
      </c>
    </row>
    <row r="11" spans="1:29" ht="15">
      <c r="A11" s="2631"/>
      <c r="B11" s="2637">
        <v>111</v>
      </c>
      <c r="C11" s="522"/>
      <c r="D11" s="253">
        <v>100</v>
      </c>
      <c r="E11" s="869"/>
      <c r="F11" s="253">
        <f>SUMIF(55:55,E11,56:56)-SUMIF(55:55,C11,56:56)+100</f>
        <v>100</v>
      </c>
      <c r="G11" s="869"/>
      <c r="H11" s="253">
        <f>SUMIF(55:55,G11,56:56)-SUMIF(55:55,C11,56:56)+100</f>
        <v>100</v>
      </c>
      <c r="I11" s="869"/>
      <c r="J11" s="253">
        <f>SUMIF(55:55,I11,56:56)-SUMIF(55:55,C11,56:56)+100</f>
        <v>100</v>
      </c>
      <c r="K11" s="575"/>
      <c r="L11" s="2019"/>
      <c r="M11" s="2013"/>
      <c r="N11" s="2013"/>
      <c r="O11" s="2020"/>
      <c r="P11" s="3658"/>
      <c r="Q11" s="1132">
        <f t="shared" si="6"/>
        <v>111</v>
      </c>
      <c r="R11" s="1499" t="s">
        <v>8</v>
      </c>
      <c r="S11" s="1500">
        <f t="shared" si="0"/>
        <v>100</v>
      </c>
      <c r="T11" s="1499" t="s">
        <v>8</v>
      </c>
      <c r="U11" s="1500">
        <f t="shared" si="1"/>
        <v>100</v>
      </c>
      <c r="V11" s="1499" t="s">
        <v>8</v>
      </c>
      <c r="W11" s="1500">
        <f t="shared" si="2"/>
        <v>100</v>
      </c>
      <c r="X11" s="1501"/>
      <c r="Y11" s="3604"/>
      <c r="Z11" s="1131">
        <f t="shared" si="7"/>
        <v>111</v>
      </c>
      <c r="AA11" s="1502">
        <f t="shared" si="3"/>
        <v>1</v>
      </c>
      <c r="AB11" s="1502">
        <f t="shared" si="4"/>
        <v>1</v>
      </c>
      <c r="AC11" s="1502">
        <f t="shared" si="5"/>
        <v>1</v>
      </c>
    </row>
    <row r="12" spans="1:29" s="1201" customFormat="1" ht="15">
      <c r="A12" s="2631"/>
      <c r="B12" s="2637">
        <v>111</v>
      </c>
      <c r="C12" s="522"/>
      <c r="D12" s="532">
        <v>100</v>
      </c>
      <c r="E12" s="869"/>
      <c r="F12" s="253">
        <f>SUMIF(57:57,E12,58:58)-SUMIF(57:57,C12,58:58)+100</f>
        <v>100</v>
      </c>
      <c r="G12" s="869"/>
      <c r="H12" s="253">
        <f>SUMIF(57:57,G12,58:58)-SUMIF(57:57,C12,58:58)+100</f>
        <v>100</v>
      </c>
      <c r="I12" s="869"/>
      <c r="J12" s="253">
        <f>SUMIF(57:57,I12,58:58)-SUMIF(57:57,C12,58:58)+100</f>
        <v>100</v>
      </c>
      <c r="K12" s="575"/>
      <c r="L12" s="2014"/>
      <c r="M12" s="2015"/>
      <c r="N12" s="2015"/>
      <c r="O12" s="2016"/>
      <c r="P12" s="3658"/>
      <c r="Q12" s="1132">
        <f t="shared" si="6"/>
        <v>111</v>
      </c>
      <c r="R12" s="1499" t="s">
        <v>8</v>
      </c>
      <c r="S12" s="1500">
        <f t="shared" si="0"/>
        <v>100</v>
      </c>
      <c r="T12" s="1499" t="s">
        <v>8</v>
      </c>
      <c r="U12" s="1500">
        <f t="shared" si="1"/>
        <v>100</v>
      </c>
      <c r="V12" s="1499" t="s">
        <v>8</v>
      </c>
      <c r="W12" s="1500">
        <f t="shared" si="2"/>
        <v>100</v>
      </c>
      <c r="X12" s="1501"/>
      <c r="Y12" s="3604"/>
      <c r="Z12" s="1131">
        <f t="shared" si="7"/>
        <v>111</v>
      </c>
      <c r="AA12" s="1502">
        <f>D12/F12</f>
        <v>1</v>
      </c>
      <c r="AB12" s="1502">
        <f>D12/H12</f>
        <v>1</v>
      </c>
      <c r="AC12" s="1502">
        <f>D12/J12</f>
        <v>1</v>
      </c>
    </row>
    <row r="13" spans="1:29" ht="15.75" thickBot="1">
      <c r="A13" s="2632"/>
      <c r="B13" s="2638">
        <v>111</v>
      </c>
      <c r="C13" s="533"/>
      <c r="D13" s="534">
        <v>100</v>
      </c>
      <c r="E13" s="869"/>
      <c r="F13" s="253">
        <f>SUMIF(59:59,E13,60:60)-SUMIF(59:59,C13,60:60)+100</f>
        <v>100</v>
      </c>
      <c r="G13" s="869"/>
      <c r="H13" s="534">
        <f>SUMIF(59:59,G13,60:60)-SUMIF(59:59,C13,60:60)+100</f>
        <v>100</v>
      </c>
      <c r="I13" s="869"/>
      <c r="J13" s="534">
        <f>SUMIF(59:59,I13,60:60)-SUMIF(59:59,C13,60:60)+100</f>
        <v>100</v>
      </c>
      <c r="K13" s="575"/>
      <c r="L13" s="2021"/>
      <c r="M13" s="2013"/>
      <c r="N13" s="2013"/>
      <c r="O13" s="2020"/>
      <c r="P13" s="3658"/>
      <c r="Q13" s="1132">
        <f t="shared" si="6"/>
        <v>111</v>
      </c>
      <c r="R13" s="1499" t="s">
        <v>8</v>
      </c>
      <c r="S13" s="1500">
        <f t="shared" si="0"/>
        <v>100</v>
      </c>
      <c r="T13" s="1499" t="s">
        <v>8</v>
      </c>
      <c r="U13" s="1500">
        <f t="shared" si="1"/>
        <v>100</v>
      </c>
      <c r="V13" s="1499" t="s">
        <v>8</v>
      </c>
      <c r="W13" s="1500">
        <f t="shared" si="2"/>
        <v>100</v>
      </c>
      <c r="X13" s="1501"/>
      <c r="Y13" s="3604"/>
      <c r="Z13" s="1131">
        <f t="shared" si="7"/>
        <v>111</v>
      </c>
      <c r="AA13" s="1502">
        <f t="shared" si="3"/>
        <v>1</v>
      </c>
      <c r="AB13" s="1502">
        <f t="shared" si="4"/>
        <v>1</v>
      </c>
      <c r="AC13" s="1502">
        <f t="shared" si="5"/>
        <v>1</v>
      </c>
    </row>
    <row r="14" spans="1:29" ht="85.5">
      <c r="A14" s="2624" t="s">
        <v>2731</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1"/>
      <c r="M14" s="2013"/>
      <c r="N14" s="2013"/>
      <c r="O14" s="2020"/>
      <c r="P14" s="3692" t="s">
        <v>534</v>
      </c>
      <c r="Q14" s="1503" t="str">
        <f t="shared" si="6"/>
        <v>交通便捷度</v>
      </c>
      <c r="R14" s="1504" t="s">
        <v>8</v>
      </c>
      <c r="S14" s="1505">
        <f t="shared" si="0"/>
        <v>100</v>
      </c>
      <c r="T14" s="1504" t="s">
        <v>8</v>
      </c>
      <c r="U14" s="1505">
        <f t="shared" si="1"/>
        <v>100</v>
      </c>
      <c r="V14" s="1504" t="s">
        <v>8</v>
      </c>
      <c r="W14" s="1505">
        <f t="shared" si="2"/>
        <v>100</v>
      </c>
      <c r="X14" s="1498"/>
      <c r="Y14" s="3692" t="s">
        <v>534</v>
      </c>
      <c r="Z14" s="1506" t="str">
        <f t="shared" si="7"/>
        <v>交通便捷度</v>
      </c>
      <c r="AA14" s="1507">
        <f t="shared" si="3"/>
        <v>1</v>
      </c>
      <c r="AB14" s="1507">
        <f t="shared" si="4"/>
        <v>1</v>
      </c>
      <c r="AC14" s="1507">
        <f t="shared" si="5"/>
        <v>1</v>
      </c>
    </row>
    <row r="15" spans="1:29" ht="15">
      <c r="A15" s="526"/>
      <c r="B15" s="858"/>
      <c r="C15" s="570"/>
      <c r="D15" s="549"/>
      <c r="E15" s="570"/>
      <c r="F15" s="551"/>
      <c r="G15" s="570"/>
      <c r="H15" s="553"/>
      <c r="I15" s="570"/>
      <c r="J15" s="549"/>
      <c r="K15" s="888"/>
      <c r="L15" s="2021"/>
      <c r="M15" s="2013"/>
      <c r="N15" s="2013"/>
      <c r="O15" s="2020"/>
      <c r="P15" s="3693"/>
      <c r="Q15" s="1503"/>
      <c r="R15" s="1504"/>
      <c r="S15" s="1505"/>
      <c r="T15" s="1504"/>
      <c r="U15" s="1505"/>
      <c r="V15" s="1504"/>
      <c r="W15" s="1505"/>
      <c r="X15" s="1498"/>
      <c r="Y15" s="3693"/>
      <c r="Z15" s="1506"/>
      <c r="AA15" s="1507">
        <v>1</v>
      </c>
      <c r="AB15" s="1507">
        <v>1</v>
      </c>
      <c r="AC15" s="1507">
        <v>1</v>
      </c>
    </row>
    <row r="16" spans="1:29" ht="42.75">
      <c r="A16" s="526"/>
      <c r="B16" s="2444" t="s">
        <v>2525</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1"/>
      <c r="M16" s="2013"/>
      <c r="N16" s="2013"/>
      <c r="O16" s="2020"/>
      <c r="P16" s="3693"/>
      <c r="Q16" s="1503" t="str">
        <f>B16</f>
        <v>公共配套设施</v>
      </c>
      <c r="R16" s="1504" t="s">
        <v>8</v>
      </c>
      <c r="S16" s="1505">
        <f>F16</f>
        <v>100</v>
      </c>
      <c r="T16" s="1504" t="s">
        <v>8</v>
      </c>
      <c r="U16" s="1505">
        <f>H16</f>
        <v>100</v>
      </c>
      <c r="V16" s="1504" t="s">
        <v>8</v>
      </c>
      <c r="W16" s="1505">
        <f>J16</f>
        <v>100</v>
      </c>
      <c r="X16" s="1498"/>
      <c r="Y16" s="3693"/>
      <c r="Z16" s="1506" t="str">
        <f>Q16</f>
        <v>公共配套设施</v>
      </c>
      <c r="AA16" s="1507">
        <f t="shared" si="3"/>
        <v>1</v>
      </c>
      <c r="AB16" s="1507">
        <f t="shared" si="4"/>
        <v>1</v>
      </c>
      <c r="AC16" s="1507">
        <f t="shared" si="5"/>
        <v>1</v>
      </c>
    </row>
    <row r="17" spans="1:29" ht="15">
      <c r="A17" s="526"/>
      <c r="B17" s="560"/>
      <c r="C17" s="862"/>
      <c r="D17" s="549"/>
      <c r="E17" s="570"/>
      <c r="F17" s="551"/>
      <c r="G17" s="570"/>
      <c r="H17" s="549"/>
      <c r="I17" s="570"/>
      <c r="J17" s="549"/>
      <c r="K17" s="888"/>
      <c r="L17" s="2021"/>
      <c r="M17" s="2013"/>
      <c r="N17" s="2013"/>
      <c r="O17" s="2020"/>
      <c r="P17" s="3693"/>
      <c r="Q17" s="1503"/>
      <c r="R17" s="1504"/>
      <c r="S17" s="1505"/>
      <c r="T17" s="1504"/>
      <c r="U17" s="1505"/>
      <c r="V17" s="1504"/>
      <c r="W17" s="1505"/>
      <c r="X17" s="1498"/>
      <c r="Y17" s="3693"/>
      <c r="Z17" s="1506"/>
      <c r="AA17" s="1507">
        <v>1</v>
      </c>
      <c r="AB17" s="1507">
        <v>1</v>
      </c>
      <c r="AC17" s="1507">
        <v>1</v>
      </c>
    </row>
    <row r="18" spans="1:29" ht="28.5">
      <c r="A18" s="526"/>
      <c r="B18" s="2432" t="s">
        <v>2537</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1"/>
      <c r="M18" s="2013"/>
      <c r="N18" s="2013"/>
      <c r="O18" s="2020"/>
      <c r="P18" s="3693"/>
      <c r="Q18" s="2426" t="str">
        <f>B18</f>
        <v>基础设施水平</v>
      </c>
      <c r="R18" s="1504" t="s">
        <v>8</v>
      </c>
      <c r="S18" s="1505">
        <f>F18</f>
        <v>100</v>
      </c>
      <c r="T18" s="1504" t="s">
        <v>8</v>
      </c>
      <c r="U18" s="1505">
        <f>H18</f>
        <v>100</v>
      </c>
      <c r="V18" s="1504" t="s">
        <v>8</v>
      </c>
      <c r="W18" s="1505">
        <f>J18</f>
        <v>100</v>
      </c>
      <c r="X18" s="2428"/>
      <c r="Y18" s="3693"/>
      <c r="Z18" s="2427" t="str">
        <f>Q18</f>
        <v>基础设施水平</v>
      </c>
      <c r="AA18" s="1507">
        <f t="shared" ref="AA18" si="8">D18/F18</f>
        <v>1</v>
      </c>
      <c r="AB18" s="1507">
        <f t="shared" ref="AB18" si="9">D18/H18</f>
        <v>1</v>
      </c>
      <c r="AC18" s="1507">
        <f t="shared" ref="AC18" si="10">D18/J18</f>
        <v>1</v>
      </c>
    </row>
    <row r="19" spans="1:29" ht="15">
      <c r="A19" s="526"/>
      <c r="B19" s="572"/>
      <c r="C19" s="862"/>
      <c r="D19" s="553"/>
      <c r="E19" s="862"/>
      <c r="F19" s="557"/>
      <c r="G19" s="862"/>
      <c r="H19" s="549"/>
      <c r="I19" s="570"/>
      <c r="J19" s="549"/>
      <c r="K19" s="2443"/>
      <c r="L19" s="2021"/>
      <c r="M19" s="2013"/>
      <c r="N19" s="2013"/>
      <c r="O19" s="2020"/>
      <c r="P19" s="3693"/>
      <c r="Q19" s="2426"/>
      <c r="R19" s="1504"/>
      <c r="S19" s="1505"/>
      <c r="T19" s="1504"/>
      <c r="U19" s="1505"/>
      <c r="V19" s="1504"/>
      <c r="W19" s="1505"/>
      <c r="X19" s="2428"/>
      <c r="Y19" s="3693"/>
      <c r="Z19" s="2427"/>
      <c r="AA19" s="1507">
        <v>1</v>
      </c>
      <c r="AB19" s="1507">
        <v>1</v>
      </c>
      <c r="AC19" s="1507">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1"/>
      <c r="M20" s="2013"/>
      <c r="N20" s="2013"/>
      <c r="O20" s="2020"/>
      <c r="P20" s="3693"/>
      <c r="Q20" s="1503" t="str">
        <f>B20</f>
        <v>自然及人文环境</v>
      </c>
      <c r="R20" s="1504" t="s">
        <v>8</v>
      </c>
      <c r="S20" s="1505">
        <f>F20</f>
        <v>100</v>
      </c>
      <c r="T20" s="1504" t="s">
        <v>8</v>
      </c>
      <c r="U20" s="1505">
        <f>H20</f>
        <v>100</v>
      </c>
      <c r="V20" s="1504" t="s">
        <v>8</v>
      </c>
      <c r="W20" s="1505">
        <f>J20</f>
        <v>100</v>
      </c>
      <c r="X20" s="1498"/>
      <c r="Y20" s="3693"/>
      <c r="Z20" s="1506" t="str">
        <f>Q20</f>
        <v>自然及人文环境</v>
      </c>
      <c r="AA20" s="1507">
        <f t="shared" si="3"/>
        <v>1</v>
      </c>
      <c r="AB20" s="1507">
        <f t="shared" si="4"/>
        <v>1</v>
      </c>
      <c r="AC20" s="1507">
        <f t="shared" si="5"/>
        <v>1</v>
      </c>
    </row>
    <row r="21" spans="1:29" ht="15">
      <c r="A21" s="526"/>
      <c r="B21" s="589"/>
      <c r="C21" s="570"/>
      <c r="D21" s="549"/>
      <c r="E21" s="570"/>
      <c r="F21" s="551"/>
      <c r="G21" s="570"/>
      <c r="H21" s="549"/>
      <c r="I21" s="570"/>
      <c r="J21" s="549"/>
      <c r="K21" s="888"/>
      <c r="L21" s="2021"/>
      <c r="M21" s="2013"/>
      <c r="N21" s="2013"/>
      <c r="O21" s="2020"/>
      <c r="P21" s="3693"/>
      <c r="Q21" s="1503"/>
      <c r="R21" s="1504"/>
      <c r="S21" s="1505"/>
      <c r="T21" s="1504"/>
      <c r="U21" s="1505"/>
      <c r="V21" s="1504"/>
      <c r="W21" s="1505"/>
      <c r="X21" s="1498"/>
      <c r="Y21" s="3693"/>
      <c r="Z21" s="1506"/>
      <c r="AA21" s="1507">
        <v>1</v>
      </c>
      <c r="AB21" s="1507">
        <v>1</v>
      </c>
      <c r="AC21" s="1507">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1"/>
      <c r="M22" s="2013"/>
      <c r="N22" s="2013"/>
      <c r="O22" s="2020"/>
      <c r="P22" s="3693"/>
      <c r="Q22" s="1503" t="str">
        <f>B22</f>
        <v>楼层</v>
      </c>
      <c r="R22" s="1504" t="s">
        <v>8</v>
      </c>
      <c r="S22" s="1505">
        <f>F22</f>
        <v>100</v>
      </c>
      <c r="T22" s="1504" t="s">
        <v>8</v>
      </c>
      <c r="U22" s="1505">
        <f>H22</f>
        <v>100</v>
      </c>
      <c r="V22" s="1504" t="s">
        <v>8</v>
      </c>
      <c r="W22" s="1505">
        <f>J22</f>
        <v>100</v>
      </c>
      <c r="X22" s="1498"/>
      <c r="Y22" s="3693"/>
      <c r="Z22" s="1506" t="str">
        <f>Q22</f>
        <v>楼层</v>
      </c>
      <c r="AA22" s="1507">
        <f t="shared" si="3"/>
        <v>1</v>
      </c>
      <c r="AB22" s="1507">
        <f t="shared" si="4"/>
        <v>1</v>
      </c>
      <c r="AC22" s="1507">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1"/>
      <c r="M23" s="2013"/>
      <c r="N23" s="2013"/>
      <c r="O23" s="2020"/>
      <c r="P23" s="3693"/>
      <c r="Q23" s="1503">
        <f>B23</f>
        <v>111</v>
      </c>
      <c r="R23" s="1504" t="s">
        <v>8</v>
      </c>
      <c r="S23" s="1505">
        <f>F23</f>
        <v>100</v>
      </c>
      <c r="T23" s="1504" t="s">
        <v>8</v>
      </c>
      <c r="U23" s="1505">
        <f>H23</f>
        <v>100</v>
      </c>
      <c r="V23" s="1504" t="s">
        <v>8</v>
      </c>
      <c r="W23" s="1505">
        <f>J23</f>
        <v>100</v>
      </c>
      <c r="X23" s="1498"/>
      <c r="Y23" s="3693"/>
      <c r="Z23" s="1506">
        <f>Q23</f>
        <v>111</v>
      </c>
      <c r="AA23" s="1507">
        <f t="shared" si="3"/>
        <v>1</v>
      </c>
      <c r="AB23" s="1507">
        <f t="shared" si="4"/>
        <v>1</v>
      </c>
      <c r="AC23" s="1507">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1"/>
      <c r="M24" s="2013"/>
      <c r="N24" s="2013"/>
      <c r="O24" s="2020"/>
      <c r="P24" s="3693"/>
      <c r="Q24" s="1503">
        <f t="shared" ref="Q24:Q34" si="11">B24</f>
        <v>111</v>
      </c>
      <c r="R24" s="1504" t="s">
        <v>8</v>
      </c>
      <c r="S24" s="1505">
        <f>F24</f>
        <v>100</v>
      </c>
      <c r="T24" s="1504" t="s">
        <v>8</v>
      </c>
      <c r="U24" s="1505">
        <f>H24</f>
        <v>100</v>
      </c>
      <c r="V24" s="1504" t="s">
        <v>8</v>
      </c>
      <c r="W24" s="1505">
        <f>J24</f>
        <v>100</v>
      </c>
      <c r="X24" s="1498"/>
      <c r="Y24" s="3693"/>
      <c r="Z24" s="1506">
        <f>Q24</f>
        <v>111</v>
      </c>
      <c r="AA24" s="1507">
        <f t="shared" si="3"/>
        <v>1</v>
      </c>
      <c r="AB24" s="1507">
        <f t="shared" si="4"/>
        <v>1</v>
      </c>
      <c r="AC24" s="1507">
        <f t="shared" si="5"/>
        <v>1</v>
      </c>
    </row>
    <row r="25" spans="1:29" s="1201"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4"/>
      <c r="M25" s="2015"/>
      <c r="N25" s="2015"/>
      <c r="O25" s="2016"/>
      <c r="P25" s="3693"/>
      <c r="Q25" s="1132">
        <f t="shared" si="11"/>
        <v>111</v>
      </c>
      <c r="R25" s="1499" t="s">
        <v>8</v>
      </c>
      <c r="S25" s="1500">
        <f>F25</f>
        <v>100</v>
      </c>
      <c r="T25" s="1499" t="s">
        <v>8</v>
      </c>
      <c r="U25" s="1500">
        <f>H25</f>
        <v>100</v>
      </c>
      <c r="V25" s="1499" t="s">
        <v>8</v>
      </c>
      <c r="W25" s="1500">
        <f>J25</f>
        <v>100</v>
      </c>
      <c r="X25" s="1501"/>
      <c r="Y25" s="3693"/>
      <c r="Z25" s="1131">
        <f>Q25</f>
        <v>111</v>
      </c>
      <c r="AA25" s="1507">
        <f>D25/F25</f>
        <v>1</v>
      </c>
      <c r="AB25" s="1507">
        <f>D25/H25</f>
        <v>1</v>
      </c>
      <c r="AC25" s="1507">
        <f>D25/J25</f>
        <v>1</v>
      </c>
    </row>
    <row r="26" spans="1:29" ht="15">
      <c r="A26" s="2621" t="s">
        <v>2732</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1"/>
      <c r="M26" s="2013"/>
      <c r="N26" s="2013"/>
      <c r="O26" s="2020"/>
      <c r="P26" s="3694"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695" t="s">
        <v>815</v>
      </c>
      <c r="Z26" s="1506" t="str">
        <f t="shared" ref="Z26:Z34" si="15">Q26</f>
        <v>公共部分装修</v>
      </c>
      <c r="AA26" s="1507">
        <f t="shared" si="3"/>
        <v>1</v>
      </c>
      <c r="AB26" s="1507">
        <f t="shared" si="4"/>
        <v>1</v>
      </c>
      <c r="AC26" s="1507">
        <f t="shared" si="5"/>
        <v>1</v>
      </c>
    </row>
    <row r="27" spans="1:29" s="1291"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19"/>
      <c r="M27" s="2049"/>
      <c r="N27" s="2049"/>
      <c r="O27" s="2022"/>
      <c r="P27" s="3695"/>
      <c r="Q27" s="1532" t="str">
        <f t="shared" si="11"/>
        <v>成新率</v>
      </c>
      <c r="R27" s="1508" t="s">
        <v>8</v>
      </c>
      <c r="S27" s="1509" t="e">
        <f t="shared" si="12"/>
        <v>#N/A</v>
      </c>
      <c r="T27" s="1508" t="s">
        <v>8</v>
      </c>
      <c r="U27" s="1509" t="e">
        <f t="shared" si="13"/>
        <v>#N/A</v>
      </c>
      <c r="V27" s="1508" t="s">
        <v>8</v>
      </c>
      <c r="W27" s="1509" t="e">
        <f t="shared" si="14"/>
        <v>#N/A</v>
      </c>
      <c r="X27" s="1510"/>
      <c r="Y27" s="3695"/>
      <c r="Z27" s="1511" t="str">
        <f t="shared" si="15"/>
        <v>成新率</v>
      </c>
      <c r="AA27" s="1507" t="e">
        <f t="shared" si="3"/>
        <v>#N/A</v>
      </c>
      <c r="AB27" s="1507" t="e">
        <f t="shared" si="4"/>
        <v>#N/A</v>
      </c>
      <c r="AC27" s="1507"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1"/>
      <c r="M28" s="2013"/>
      <c r="N28" s="2013"/>
      <c r="O28" s="2020"/>
      <c r="P28" s="3695"/>
      <c r="Q28" s="1503" t="str">
        <f t="shared" si="11"/>
        <v>物业等级</v>
      </c>
      <c r="R28" s="1504" t="s">
        <v>8</v>
      </c>
      <c r="S28" s="1505">
        <f t="shared" si="12"/>
        <v>100</v>
      </c>
      <c r="T28" s="1504" t="s">
        <v>8</v>
      </c>
      <c r="U28" s="1505">
        <f t="shared" si="13"/>
        <v>100</v>
      </c>
      <c r="V28" s="1504" t="s">
        <v>8</v>
      </c>
      <c r="W28" s="1505">
        <f t="shared" si="14"/>
        <v>100</v>
      </c>
      <c r="X28" s="1498"/>
      <c r="Y28" s="3695"/>
      <c r="Z28" s="1506" t="str">
        <f t="shared" si="15"/>
        <v>物业等级</v>
      </c>
      <c r="AA28" s="1507">
        <f t="shared" si="3"/>
        <v>1</v>
      </c>
      <c r="AB28" s="1507">
        <f t="shared" si="4"/>
        <v>1</v>
      </c>
      <c r="AC28" s="1507">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1"/>
      <c r="M29" s="2013"/>
      <c r="N29" s="2013"/>
      <c r="O29" s="2020"/>
      <c r="P29" s="3695"/>
      <c r="Q29" s="1503" t="str">
        <f t="shared" si="11"/>
        <v>有无电梯</v>
      </c>
      <c r="R29" s="1504" t="s">
        <v>8</v>
      </c>
      <c r="S29" s="1505">
        <f t="shared" si="12"/>
        <v>100</v>
      </c>
      <c r="T29" s="1504" t="s">
        <v>8</v>
      </c>
      <c r="U29" s="1505">
        <f t="shared" si="13"/>
        <v>100</v>
      </c>
      <c r="V29" s="1504" t="s">
        <v>8</v>
      </c>
      <c r="W29" s="1505">
        <f t="shared" si="14"/>
        <v>100</v>
      </c>
      <c r="X29" s="1498"/>
      <c r="Y29" s="3695"/>
      <c r="Z29" s="1506" t="str">
        <f t="shared" si="15"/>
        <v>有无电梯</v>
      </c>
      <c r="AA29" s="1507">
        <f t="shared" si="3"/>
        <v>1</v>
      </c>
      <c r="AB29" s="1507">
        <f t="shared" si="4"/>
        <v>1</v>
      </c>
      <c r="AC29" s="1507">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1"/>
      <c r="M30" s="2013"/>
      <c r="N30" s="2013"/>
      <c r="O30" s="2020"/>
      <c r="P30" s="3695"/>
      <c r="Q30" s="1503" t="str">
        <f t="shared" si="11"/>
        <v>建筑面积</v>
      </c>
      <c r="R30" s="1504" t="s">
        <v>8</v>
      </c>
      <c r="S30" s="1505" t="e">
        <f t="shared" si="12"/>
        <v>#N/A</v>
      </c>
      <c r="T30" s="1504" t="s">
        <v>8</v>
      </c>
      <c r="U30" s="1505" t="e">
        <f t="shared" si="13"/>
        <v>#N/A</v>
      </c>
      <c r="V30" s="1504" t="s">
        <v>8</v>
      </c>
      <c r="W30" s="1505" t="e">
        <f t="shared" si="14"/>
        <v>#N/A</v>
      </c>
      <c r="X30" s="1498"/>
      <c r="Y30" s="3695"/>
      <c r="Z30" s="1506" t="str">
        <f t="shared" si="15"/>
        <v>建筑面积</v>
      </c>
      <c r="AA30" s="1507" t="e">
        <f t="shared" si="3"/>
        <v>#N/A</v>
      </c>
      <c r="AB30" s="1507" t="e">
        <f t="shared" si="4"/>
        <v>#N/A</v>
      </c>
      <c r="AC30" s="1507" t="e">
        <f t="shared" si="5"/>
        <v>#N/A</v>
      </c>
    </row>
    <row r="31" spans="1:29" s="1201"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4"/>
      <c r="M31" s="2015"/>
      <c r="N31" s="2015"/>
      <c r="O31" s="2016"/>
      <c r="P31" s="3695"/>
      <c r="Q31" s="1132" t="str">
        <f t="shared" si="11"/>
        <v>是否封闭</v>
      </c>
      <c r="R31" s="1499" t="s">
        <v>8</v>
      </c>
      <c r="S31" s="1500">
        <f t="shared" si="12"/>
        <v>100</v>
      </c>
      <c r="T31" s="1499" t="s">
        <v>8</v>
      </c>
      <c r="U31" s="1500">
        <f t="shared" si="13"/>
        <v>100</v>
      </c>
      <c r="V31" s="1499" t="s">
        <v>8</v>
      </c>
      <c r="W31" s="1500">
        <f t="shared" si="14"/>
        <v>100</v>
      </c>
      <c r="X31" s="1501"/>
      <c r="Y31" s="3695"/>
      <c r="Z31" s="1131" t="str">
        <f t="shared" si="15"/>
        <v>是否封闭</v>
      </c>
      <c r="AA31" s="1502">
        <f t="shared" si="3"/>
        <v>1</v>
      </c>
      <c r="AB31" s="1502">
        <f t="shared" si="4"/>
        <v>1</v>
      </c>
      <c r="AC31" s="1502">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1"/>
      <c r="M32" s="2013"/>
      <c r="N32" s="2013"/>
      <c r="O32" s="2020"/>
      <c r="P32" s="3695" t="s">
        <v>544</v>
      </c>
      <c r="Q32" s="1503">
        <f t="shared" si="11"/>
        <v>111</v>
      </c>
      <c r="R32" s="1504" t="s">
        <v>8</v>
      </c>
      <c r="S32" s="1505">
        <f t="shared" si="12"/>
        <v>100</v>
      </c>
      <c r="T32" s="1504" t="s">
        <v>8</v>
      </c>
      <c r="U32" s="1505">
        <f t="shared" si="13"/>
        <v>100</v>
      </c>
      <c r="V32" s="1504" t="s">
        <v>8</v>
      </c>
      <c r="W32" s="1505">
        <f t="shared" si="14"/>
        <v>100</v>
      </c>
      <c r="X32" s="1498"/>
      <c r="Y32" s="3695" t="s">
        <v>544</v>
      </c>
      <c r="Z32" s="1506">
        <f t="shared" si="15"/>
        <v>111</v>
      </c>
      <c r="AA32" s="1507">
        <f t="shared" si="3"/>
        <v>1</v>
      </c>
      <c r="AB32" s="1507">
        <f t="shared" si="4"/>
        <v>1</v>
      </c>
      <c r="AC32" s="1507">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1"/>
      <c r="M33" s="2013"/>
      <c r="N33" s="2013"/>
      <c r="O33" s="2020"/>
      <c r="P33" s="3695"/>
      <c r="Q33" s="1503">
        <f t="shared" si="11"/>
        <v>111</v>
      </c>
      <c r="R33" s="1504" t="s">
        <v>8</v>
      </c>
      <c r="S33" s="1505">
        <f t="shared" si="12"/>
        <v>100</v>
      </c>
      <c r="T33" s="1504" t="s">
        <v>8</v>
      </c>
      <c r="U33" s="1505">
        <f t="shared" si="13"/>
        <v>100</v>
      </c>
      <c r="V33" s="1504" t="s">
        <v>8</v>
      </c>
      <c r="W33" s="1505">
        <f t="shared" si="14"/>
        <v>100</v>
      </c>
      <c r="X33" s="1498"/>
      <c r="Y33" s="3695"/>
      <c r="Z33" s="1506">
        <f t="shared" si="15"/>
        <v>111</v>
      </c>
      <c r="AA33" s="1507">
        <f t="shared" si="3"/>
        <v>1</v>
      </c>
      <c r="AB33" s="1507">
        <f t="shared" si="4"/>
        <v>1</v>
      </c>
      <c r="AC33" s="1507">
        <f t="shared" si="5"/>
        <v>1</v>
      </c>
    </row>
    <row r="34" spans="1:29" ht="15.75" thickBot="1">
      <c r="A34" s="875"/>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1"/>
      <c r="M34" s="2013"/>
      <c r="N34" s="2013"/>
      <c r="O34" s="2020"/>
      <c r="P34" s="3695"/>
      <c r="Q34" s="1503">
        <f t="shared" si="11"/>
        <v>111</v>
      </c>
      <c r="R34" s="1504" t="s">
        <v>8</v>
      </c>
      <c r="S34" s="1505">
        <f t="shared" si="12"/>
        <v>100</v>
      </c>
      <c r="T34" s="1504" t="s">
        <v>8</v>
      </c>
      <c r="U34" s="1505">
        <f t="shared" si="13"/>
        <v>100</v>
      </c>
      <c r="V34" s="1504" t="s">
        <v>8</v>
      </c>
      <c r="W34" s="1505">
        <f t="shared" si="14"/>
        <v>100</v>
      </c>
      <c r="X34" s="1498"/>
      <c r="Y34" s="3695"/>
      <c r="Z34" s="1506">
        <f t="shared" si="15"/>
        <v>111</v>
      </c>
      <c r="AA34" s="1507">
        <f t="shared" si="3"/>
        <v>1</v>
      </c>
      <c r="AB34" s="1507">
        <f t="shared" si="4"/>
        <v>1</v>
      </c>
      <c r="AC34" s="1507">
        <f t="shared" si="5"/>
        <v>1</v>
      </c>
    </row>
    <row r="35" spans="1:29" ht="15">
      <c r="A35" s="601" t="s">
        <v>730</v>
      </c>
      <c r="B35" s="876"/>
      <c r="C35" s="2467" t="s">
        <v>1</v>
      </c>
      <c r="D35" s="2468"/>
      <c r="E35" s="2469"/>
      <c r="F35" s="2470"/>
      <c r="G35" s="2471"/>
      <c r="H35" s="2472"/>
      <c r="I35" s="2469"/>
      <c r="J35" s="2472"/>
      <c r="K35" s="1537"/>
      <c r="L35" s="2023"/>
      <c r="M35" s="2024"/>
      <c r="N35" s="2013"/>
      <c r="O35" s="2024"/>
      <c r="P35" s="3658" t="str">
        <f>A35</f>
        <v>成交单价（元/平方米）</v>
      </c>
      <c r="Q35" s="3658"/>
      <c r="R35" s="3753">
        <f>E35</f>
        <v>0</v>
      </c>
      <c r="S35" s="3753"/>
      <c r="T35" s="3753">
        <f>G35</f>
        <v>0</v>
      </c>
      <c r="U35" s="3753"/>
      <c r="V35" s="3753">
        <f>I35</f>
        <v>0</v>
      </c>
      <c r="W35" s="3753"/>
      <c r="X35" s="1493"/>
      <c r="Y35" s="1512"/>
      <c r="Z35" s="1493"/>
      <c r="AA35" s="1493"/>
      <c r="AB35" s="1493"/>
      <c r="AC35" s="1493"/>
    </row>
    <row r="36" spans="1:29" ht="15.75" thickBot="1">
      <c r="A36" s="609" t="s">
        <v>2737</v>
      </c>
      <c r="B36" s="877"/>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58" t="str">
        <f>A36</f>
        <v>比较价格（元/平方米）</v>
      </c>
      <c r="Q36" s="3658"/>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493"/>
      <c r="Y36" s="1493"/>
      <c r="Z36" s="1493"/>
      <c r="AA36" s="1493"/>
      <c r="AB36" s="1493"/>
      <c r="AC36" s="1493"/>
    </row>
    <row r="37" spans="1:29" ht="15.75" thickBot="1">
      <c r="A37" s="613" t="s">
        <v>2896</v>
      </c>
      <c r="B37" s="614"/>
      <c r="C37" s="2475" t="e">
        <f>R37</f>
        <v>#DIV/0!</v>
      </c>
      <c r="D37" s="2475"/>
      <c r="E37" s="2475"/>
      <c r="F37" s="2475"/>
      <c r="G37" s="2475"/>
      <c r="H37" s="2475"/>
      <c r="I37" s="2475"/>
      <c r="J37" s="2475"/>
      <c r="K37" s="1538"/>
      <c r="L37" s="2023"/>
      <c r="M37" s="2024"/>
      <c r="N37" s="2024"/>
      <c r="O37" s="2024"/>
      <c r="P37" s="3655" t="str">
        <f>A37</f>
        <v>估价对象XX用房的比较价格（楼面单价，元/平方米）</v>
      </c>
      <c r="Q37" s="3656"/>
      <c r="R37" s="3752" t="e">
        <f>IF(F1="售价",ROUND(IF(D36="简单平均",AVERAGE(R36:W36),R36*F36+T36*H36+V36*J36),0),ROUND(IF(D36="简单平均",AVERAGE(R36:V36),R36*F36+T36*H36+V36*J36),1))</f>
        <v>#DIV/0!</v>
      </c>
      <c r="S37" s="3752"/>
      <c r="T37" s="3752"/>
      <c r="U37" s="3752"/>
      <c r="V37" s="3752"/>
      <c r="W37" s="3752"/>
      <c r="X37" s="1493"/>
      <c r="Y37" s="1493"/>
      <c r="Z37" s="1493"/>
      <c r="AA37" s="1493"/>
      <c r="AB37" s="1493"/>
      <c r="AC37" s="1493"/>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568</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7" t="s">
        <v>523</v>
      </c>
      <c r="B46" s="638"/>
      <c r="C46" s="2516" t="str">
        <f>YEAR(C7)&amp;"-"&amp;MONTH(C7)</f>
        <v>2021-6</v>
      </c>
      <c r="D46" s="2518">
        <f>EDATE(C46,-1)</f>
        <v>44317</v>
      </c>
      <c r="E46" s="2518">
        <f t="shared" ref="E46:O46" si="16">EDATE(D46,-1)</f>
        <v>44287</v>
      </c>
      <c r="F46" s="2518">
        <f t="shared" si="16"/>
        <v>44256</v>
      </c>
      <c r="G46" s="2518">
        <f t="shared" si="16"/>
        <v>44228</v>
      </c>
      <c r="H46" s="2518">
        <f t="shared" si="16"/>
        <v>44197</v>
      </c>
      <c r="I46" s="2518">
        <f t="shared" si="16"/>
        <v>44166</v>
      </c>
      <c r="J46" s="2518">
        <f t="shared" si="16"/>
        <v>44136</v>
      </c>
      <c r="K46" s="2518">
        <f t="shared" si="16"/>
        <v>44105</v>
      </c>
      <c r="L46" s="2518">
        <f t="shared" si="16"/>
        <v>44075</v>
      </c>
      <c r="M46" s="2518">
        <f t="shared" si="16"/>
        <v>44044</v>
      </c>
      <c r="N46" s="2518">
        <f t="shared" si="16"/>
        <v>44013</v>
      </c>
      <c r="O46" s="2518">
        <f t="shared" si="16"/>
        <v>43983</v>
      </c>
      <c r="P46" s="2038"/>
      <c r="Q46" s="2039"/>
      <c r="R46" s="2039"/>
      <c r="S46" s="2039"/>
      <c r="T46" s="2039"/>
      <c r="U46" s="2039"/>
      <c r="V46" s="2039"/>
      <c r="W46" s="2039"/>
      <c r="X46" s="2039"/>
      <c r="Y46" s="2039"/>
      <c r="Z46" s="2039"/>
      <c r="AA46" s="2039"/>
      <c r="AB46" s="2039"/>
      <c r="AC46" s="2039"/>
    </row>
    <row r="47" spans="1:29" s="1201" customFormat="1" ht="15">
      <c r="A47" s="639"/>
      <c r="B47" s="640"/>
      <c r="C47" s="641">
        <v>100</v>
      </c>
      <c r="D47" s="642"/>
      <c r="E47" s="642"/>
      <c r="F47" s="642"/>
      <c r="G47" s="642"/>
      <c r="H47" s="642"/>
      <c r="I47" s="642"/>
      <c r="J47" s="642"/>
      <c r="K47" s="642"/>
      <c r="L47" s="642"/>
      <c r="M47" s="643"/>
      <c r="N47" s="642"/>
      <c r="O47" s="644"/>
      <c r="P47" s="2036"/>
      <c r="Q47" s="1902"/>
      <c r="R47" s="1902"/>
      <c r="S47" s="1902"/>
      <c r="T47" s="1902"/>
      <c r="U47" s="1902"/>
      <c r="V47" s="1902"/>
      <c r="W47" s="1902"/>
      <c r="X47" s="1902"/>
      <c r="Y47" s="1902"/>
      <c r="Z47" s="1902"/>
      <c r="AA47" s="1902"/>
      <c r="AB47" s="1902"/>
      <c r="AC47" s="1902"/>
    </row>
    <row r="48" spans="1:29" s="1201" customFormat="1" ht="15.75" thickBot="1">
      <c r="A48" s="645" t="s">
        <v>569</v>
      </c>
      <c r="B48" s="646"/>
      <c r="C48" s="647"/>
      <c r="D48" s="648"/>
      <c r="E48" s="648"/>
      <c r="F48" s="648"/>
      <c r="G48" s="648"/>
      <c r="H48" s="648"/>
      <c r="I48" s="648"/>
      <c r="J48" s="648"/>
      <c r="K48" s="648"/>
      <c r="L48" s="648"/>
      <c r="M48" s="649"/>
      <c r="N48" s="648"/>
      <c r="O48" s="650"/>
      <c r="P48" s="2036"/>
      <c r="Q48" s="2036"/>
      <c r="R48" s="1902"/>
      <c r="S48" s="1902"/>
      <c r="T48" s="1902"/>
      <c r="U48" s="1902"/>
      <c r="V48" s="1902"/>
      <c r="W48" s="1902"/>
      <c r="X48" s="1902"/>
      <c r="Y48" s="1902"/>
      <c r="Z48" s="1902"/>
      <c r="AA48" s="1902"/>
      <c r="AB48" s="1902"/>
      <c r="AC48" s="1902"/>
    </row>
    <row r="49" spans="1:29" s="1201" customFormat="1" ht="15">
      <c r="A49" s="651" t="s">
        <v>525</v>
      </c>
      <c r="B49" s="640"/>
      <c r="C49" s="652" t="s">
        <v>570</v>
      </c>
      <c r="D49" s="653"/>
      <c r="E49" s="653"/>
      <c r="F49" s="653"/>
      <c r="G49" s="653"/>
      <c r="H49" s="653"/>
      <c r="I49" s="653"/>
      <c r="J49" s="653"/>
      <c r="K49" s="653"/>
      <c r="L49" s="654"/>
      <c r="M49" s="655"/>
      <c r="N49" s="2040"/>
      <c r="O49" s="2040"/>
      <c r="P49" s="2041"/>
      <c r="Q49" s="2036"/>
      <c r="R49" s="1902"/>
      <c r="S49" s="1902"/>
      <c r="T49" s="1902"/>
      <c r="U49" s="1902"/>
      <c r="V49" s="1902"/>
      <c r="W49" s="1902"/>
      <c r="X49" s="1902"/>
      <c r="Y49" s="1902"/>
      <c r="Z49" s="1902"/>
      <c r="AA49" s="1902"/>
      <c r="AB49" s="1902"/>
      <c r="AC49" s="1902"/>
    </row>
    <row r="50" spans="1:29" s="1201" customFormat="1" ht="15.75" thickBot="1">
      <c r="A50" s="651"/>
      <c r="B50" s="640"/>
      <c r="C50" s="641">
        <v>100</v>
      </c>
      <c r="D50" s="642"/>
      <c r="E50" s="642"/>
      <c r="F50" s="642"/>
      <c r="G50" s="642"/>
      <c r="H50" s="642"/>
      <c r="I50" s="642"/>
      <c r="J50" s="642"/>
      <c r="K50" s="642"/>
      <c r="L50" s="642"/>
      <c r="M50" s="644"/>
      <c r="N50" s="2040"/>
      <c r="O50" s="2040"/>
      <c r="P50" s="2036"/>
      <c r="Q50" s="2036"/>
      <c r="R50" s="1902"/>
      <c r="S50" s="1902"/>
      <c r="T50" s="1902"/>
      <c r="U50" s="1902"/>
      <c r="V50" s="1902"/>
      <c r="W50" s="1902"/>
      <c r="X50" s="1902"/>
      <c r="Y50" s="1902"/>
      <c r="Z50" s="1902"/>
      <c r="AA50" s="1902"/>
      <c r="AB50" s="1902"/>
      <c r="AC50" s="1902"/>
    </row>
    <row r="51" spans="1:29">
      <c r="A51" s="656" t="s">
        <v>571</v>
      </c>
      <c r="B51" s="657" t="s">
        <v>528</v>
      </c>
      <c r="C51" s="696">
        <f>C9</f>
        <v>0</v>
      </c>
      <c r="D51" s="592"/>
      <c r="E51" s="592"/>
      <c r="F51" s="592"/>
      <c r="G51" s="592"/>
      <c r="H51" s="592"/>
      <c r="I51" s="592"/>
      <c r="J51" s="592"/>
      <c r="K51" s="658"/>
      <c r="L51" s="659"/>
      <c r="M51" s="660"/>
      <c r="N51" s="2042"/>
      <c r="O51" s="2042"/>
      <c r="P51" s="2043"/>
      <c r="Q51" s="2036"/>
      <c r="R51" s="2024"/>
      <c r="S51" s="2024"/>
      <c r="T51" s="2024"/>
      <c r="U51" s="2024"/>
      <c r="V51" s="2024"/>
      <c r="W51" s="2024"/>
      <c r="X51" s="2024"/>
      <c r="Y51" s="2024"/>
      <c r="Z51" s="2024"/>
      <c r="AA51" s="2024"/>
      <c r="AB51" s="2024"/>
      <c r="AC51" s="2024"/>
    </row>
    <row r="52" spans="1:29" ht="15.75" thickBot="1">
      <c r="A52" s="661"/>
      <c r="B52" s="662"/>
      <c r="C52" s="663">
        <v>100</v>
      </c>
      <c r="D52" s="663"/>
      <c r="E52" s="663"/>
      <c r="F52" s="663"/>
      <c r="G52" s="663"/>
      <c r="H52" s="663"/>
      <c r="I52" s="663"/>
      <c r="J52" s="663"/>
      <c r="K52" s="663"/>
      <c r="L52" s="663"/>
      <c r="M52" s="664"/>
      <c r="N52" s="2044"/>
      <c r="O52" s="2044"/>
      <c r="P52" s="2043"/>
      <c r="Q52" s="2036"/>
      <c r="R52" s="2024"/>
      <c r="S52" s="2024"/>
      <c r="T52" s="2024"/>
      <c r="U52" s="2024"/>
      <c r="V52" s="2024"/>
      <c r="W52" s="2024"/>
      <c r="X52" s="2024"/>
      <c r="Y52" s="2024"/>
      <c r="Z52" s="2024"/>
      <c r="AA52" s="2024"/>
      <c r="AB52" s="2024"/>
      <c r="AC52" s="2024"/>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2"/>
      <c r="O53" s="2042"/>
      <c r="P53" s="2043"/>
      <c r="Q53" s="2036"/>
      <c r="R53" s="2024"/>
      <c r="S53" s="2024"/>
      <c r="T53" s="2024"/>
      <c r="U53" s="2024"/>
      <c r="V53" s="2024"/>
      <c r="W53" s="2024"/>
      <c r="X53" s="2024"/>
      <c r="Y53" s="2024"/>
      <c r="Z53" s="2024"/>
      <c r="AA53" s="2024"/>
      <c r="AB53" s="2024"/>
      <c r="AC53" s="2024"/>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4"/>
      <c r="O54" s="2044"/>
      <c r="P54" s="2043"/>
      <c r="Q54" s="2036"/>
      <c r="R54" s="2024"/>
      <c r="S54" s="2024"/>
      <c r="T54" s="2024"/>
      <c r="U54" s="2024"/>
      <c r="V54" s="2024"/>
      <c r="W54" s="2024"/>
      <c r="X54" s="2024"/>
      <c r="Y54" s="2024"/>
      <c r="Z54" s="2024"/>
      <c r="AA54" s="2024"/>
      <c r="AB54" s="2024"/>
      <c r="AC54" s="2024"/>
    </row>
    <row r="55" spans="1:29" ht="15.75" thickTop="1">
      <c r="A55" s="661"/>
      <c r="B55" s="923">
        <f>B11</f>
        <v>111</v>
      </c>
      <c r="C55" s="535"/>
      <c r="D55" s="535"/>
      <c r="E55" s="535"/>
      <c r="F55" s="535"/>
      <c r="G55" s="535"/>
      <c r="H55" s="535"/>
      <c r="I55" s="535"/>
      <c r="J55" s="535"/>
      <c r="K55" s="676"/>
      <c r="L55" s="677"/>
      <c r="M55" s="678"/>
      <c r="N55" s="2042"/>
      <c r="O55" s="2042"/>
      <c r="P55" s="2043"/>
      <c r="Q55" s="2036"/>
      <c r="R55" s="2024"/>
      <c r="S55" s="2024"/>
      <c r="T55" s="2024"/>
      <c r="U55" s="2024"/>
      <c r="V55" s="2024"/>
      <c r="W55" s="2024"/>
      <c r="X55" s="2024"/>
      <c r="Y55" s="2024"/>
      <c r="Z55" s="2024"/>
      <c r="AA55" s="2024"/>
      <c r="AB55" s="2024"/>
      <c r="AC55" s="2024"/>
    </row>
    <row r="56" spans="1:29" ht="15.75" thickBot="1">
      <c r="A56" s="661"/>
      <c r="B56" s="662"/>
      <c r="C56" s="684"/>
      <c r="D56" s="663"/>
      <c r="E56" s="663"/>
      <c r="F56" s="663"/>
      <c r="G56" s="663"/>
      <c r="H56" s="663"/>
      <c r="I56" s="663"/>
      <c r="J56" s="663"/>
      <c r="K56" s="663"/>
      <c r="L56" s="663"/>
      <c r="M56" s="664"/>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9"/>
      <c r="B57" s="665">
        <f>B12</f>
        <v>111</v>
      </c>
      <c r="C57" s="535"/>
      <c r="D57" s="535"/>
      <c r="E57" s="535"/>
      <c r="F57" s="535"/>
      <c r="G57" s="680"/>
      <c r="H57" s="681"/>
      <c r="I57" s="681"/>
      <c r="J57" s="681"/>
      <c r="K57" s="681"/>
      <c r="L57" s="682"/>
      <c r="M57" s="683"/>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9"/>
      <c r="B58" s="670"/>
      <c r="C58" s="684"/>
      <c r="D58" s="663"/>
      <c r="E58" s="663"/>
      <c r="F58" s="663"/>
      <c r="G58" s="663"/>
      <c r="H58" s="663"/>
      <c r="I58" s="663"/>
      <c r="J58" s="663"/>
      <c r="K58" s="663"/>
      <c r="L58" s="663"/>
      <c r="M58" s="664"/>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9"/>
      <c r="B59" s="665">
        <f>B13</f>
        <v>111</v>
      </c>
      <c r="C59" s="535"/>
      <c r="D59" s="535"/>
      <c r="E59" s="535"/>
      <c r="F59" s="535"/>
      <c r="G59" s="680"/>
      <c r="H59" s="681"/>
      <c r="I59" s="681"/>
      <c r="J59" s="681"/>
      <c r="K59" s="681"/>
      <c r="L59" s="682"/>
      <c r="M59" s="683"/>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9"/>
      <c r="B60" s="670"/>
      <c r="C60" s="684"/>
      <c r="D60" s="684"/>
      <c r="E60" s="684"/>
      <c r="F60" s="684"/>
      <c r="G60" s="684"/>
      <c r="H60" s="685"/>
      <c r="I60" s="685"/>
      <c r="J60" s="685"/>
      <c r="K60" s="685"/>
      <c r="L60" s="685"/>
      <c r="M60" s="686"/>
      <c r="N60" s="2045"/>
      <c r="O60" s="2045"/>
      <c r="P60" s="2046"/>
      <c r="Q60" s="2047"/>
      <c r="R60" s="2048"/>
      <c r="S60" s="2048"/>
      <c r="T60" s="2048"/>
      <c r="U60" s="2048"/>
      <c r="V60" s="2048"/>
      <c r="W60" s="2048"/>
      <c r="X60" s="2048"/>
      <c r="Y60" s="2048"/>
      <c r="Z60" s="2048"/>
      <c r="AA60" s="2048"/>
      <c r="AB60" s="2048"/>
      <c r="AC60" s="2048"/>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2"/>
      <c r="O61" s="2042"/>
      <c r="P61" s="2052"/>
      <c r="Q61" s="2036"/>
      <c r="R61" s="2024"/>
      <c r="S61" s="2024"/>
      <c r="T61" s="2024"/>
      <c r="U61" s="2024"/>
      <c r="V61" s="2024"/>
      <c r="W61" s="2024"/>
      <c r="X61" s="2024"/>
      <c r="Y61" s="2024"/>
      <c r="Z61" s="2024"/>
      <c r="AA61" s="2024"/>
      <c r="AB61" s="2024"/>
      <c r="AC61" s="2024"/>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4"/>
      <c r="O62" s="2044"/>
      <c r="P62" s="2043"/>
      <c r="Q62" s="2036"/>
      <c r="R62" s="2024"/>
      <c r="S62" s="2024"/>
      <c r="T62" s="2024"/>
      <c r="U62" s="2024"/>
      <c r="V62" s="2024"/>
      <c r="W62" s="2024"/>
      <c r="X62" s="2024"/>
      <c r="Y62" s="2024"/>
      <c r="Z62" s="2024"/>
      <c r="AA62" s="2024"/>
      <c r="AB62" s="2024"/>
      <c r="AC62" s="2024"/>
    </row>
    <row r="63" spans="1:29" ht="15.75" thickTop="1">
      <c r="A63" s="661"/>
      <c r="B63" s="1807" t="s">
        <v>2536</v>
      </c>
      <c r="C63" s="700" t="s">
        <v>573</v>
      </c>
      <c r="D63" s="700" t="s">
        <v>574</v>
      </c>
      <c r="E63" s="700" t="s">
        <v>575</v>
      </c>
      <c r="F63" s="700" t="s">
        <v>576</v>
      </c>
      <c r="G63" s="700" t="s">
        <v>577</v>
      </c>
      <c r="H63" s="666"/>
      <c r="I63" s="666"/>
      <c r="J63" s="666"/>
      <c r="K63" s="667"/>
      <c r="L63" s="668"/>
      <c r="M63" s="669"/>
      <c r="N63" s="2042"/>
      <c r="O63" s="2042"/>
      <c r="P63" s="2043"/>
      <c r="Q63" s="2036"/>
      <c r="R63" s="2024"/>
      <c r="S63" s="2024"/>
      <c r="T63" s="2024"/>
      <c r="U63" s="2024"/>
      <c r="V63" s="2024"/>
      <c r="W63" s="2024"/>
      <c r="X63" s="2024"/>
      <c r="Y63" s="2024"/>
      <c r="Z63" s="2024"/>
      <c r="AA63" s="2024"/>
      <c r="AB63" s="2024"/>
      <c r="AC63" s="2024"/>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2438" t="s">
        <v>2537</v>
      </c>
      <c r="C65" s="2439" t="s">
        <v>2538</v>
      </c>
      <c r="D65" s="2439" t="s">
        <v>2539</v>
      </c>
      <c r="E65" s="2439" t="s">
        <v>2540</v>
      </c>
      <c r="F65" s="2439" t="s">
        <v>2541</v>
      </c>
      <c r="G65" s="2439" t="s">
        <v>2542</v>
      </c>
      <c r="H65" s="666"/>
      <c r="I65" s="666"/>
      <c r="J65" s="666"/>
      <c r="K65" s="666"/>
      <c r="L65" s="666"/>
      <c r="M65" s="2442"/>
      <c r="N65" s="2044"/>
      <c r="O65" s="2044"/>
      <c r="P65" s="2043"/>
      <c r="Q65" s="2036"/>
      <c r="R65" s="2024"/>
      <c r="S65" s="2024"/>
      <c r="T65" s="2024"/>
      <c r="U65" s="2024"/>
      <c r="V65" s="2024"/>
      <c r="W65" s="2024"/>
      <c r="X65" s="2024"/>
      <c r="Y65" s="2024"/>
      <c r="Z65" s="2024"/>
      <c r="AA65" s="2024"/>
      <c r="AB65" s="2024"/>
      <c r="AC65" s="2024"/>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4"/>
      <c r="O66" s="2044"/>
      <c r="P66" s="2043"/>
      <c r="Q66" s="2036"/>
      <c r="R66" s="2024"/>
      <c r="S66" s="2024"/>
      <c r="T66" s="2024"/>
      <c r="U66" s="2024"/>
      <c r="V66" s="2024"/>
      <c r="W66" s="2024"/>
      <c r="X66" s="2024"/>
      <c r="Y66" s="2024"/>
      <c r="Z66" s="2024"/>
      <c r="AA66" s="2024"/>
      <c r="AB66" s="2024"/>
      <c r="AC66" s="2024"/>
    </row>
    <row r="67" spans="1:29" ht="15.75" thickTop="1">
      <c r="A67" s="661"/>
      <c r="B67" s="665" t="s">
        <v>738</v>
      </c>
      <c r="C67" s="700" t="s">
        <v>573</v>
      </c>
      <c r="D67" s="700" t="s">
        <v>574</v>
      </c>
      <c r="E67" s="700" t="s">
        <v>575</v>
      </c>
      <c r="F67" s="700" t="s">
        <v>576</v>
      </c>
      <c r="G67" s="700" t="s">
        <v>577</v>
      </c>
      <c r="H67" s="666"/>
      <c r="I67" s="666"/>
      <c r="J67" s="666"/>
      <c r="K67" s="667"/>
      <c r="L67" s="668"/>
      <c r="M67" s="669"/>
      <c r="N67" s="2042"/>
      <c r="O67" s="2042"/>
      <c r="P67" s="2043"/>
      <c r="Q67" s="2036"/>
      <c r="R67" s="2024"/>
      <c r="S67" s="2024"/>
      <c r="T67" s="2024"/>
      <c r="U67" s="2024"/>
      <c r="V67" s="2024"/>
      <c r="W67" s="2024"/>
      <c r="X67" s="2024"/>
      <c r="Y67" s="2024"/>
      <c r="Z67" s="2024"/>
      <c r="AA67" s="2024"/>
      <c r="AB67" s="2024"/>
      <c r="AC67" s="2024"/>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739</v>
      </c>
      <c r="C69" s="680"/>
      <c r="D69" s="680"/>
      <c r="E69" s="680"/>
      <c r="F69" s="680"/>
      <c r="G69" s="680"/>
      <c r="H69" s="710"/>
      <c r="I69" s="710"/>
      <c r="J69" s="710"/>
      <c r="K69" s="711"/>
      <c r="L69" s="712"/>
      <c r="M69" s="713"/>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C70-$K22</f>
        <v>100</v>
      </c>
      <c r="E70" s="671"/>
      <c r="F70" s="671"/>
      <c r="G70" s="671"/>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s="1201" customFormat="1" ht="15.75" thickTop="1">
      <c r="A71" s="701"/>
      <c r="B71" s="665">
        <f>B23</f>
        <v>111</v>
      </c>
      <c r="C71" s="535"/>
      <c r="D71" s="535"/>
      <c r="E71" s="535"/>
      <c r="F71" s="535"/>
      <c r="G71" s="680"/>
      <c r="H71" s="680"/>
      <c r="I71" s="680"/>
      <c r="J71" s="680"/>
      <c r="K71" s="680"/>
      <c r="L71" s="879"/>
      <c r="M71" s="880"/>
      <c r="N71" s="2040"/>
      <c r="O71" s="2040"/>
      <c r="P71" s="2043"/>
      <c r="Q71" s="2036"/>
      <c r="R71" s="1902"/>
      <c r="S71" s="1902"/>
      <c r="T71" s="1902"/>
      <c r="U71" s="1902"/>
      <c r="V71" s="1902"/>
      <c r="W71" s="1902"/>
      <c r="X71" s="1902"/>
      <c r="Y71" s="1902"/>
      <c r="Z71" s="1902"/>
      <c r="AA71" s="1902"/>
      <c r="AB71" s="1902"/>
      <c r="AC71" s="1902"/>
    </row>
    <row r="72" spans="1:29" s="1201" customFormat="1" ht="15.75" thickBot="1">
      <c r="A72" s="701"/>
      <c r="B72" s="670"/>
      <c r="C72" s="684"/>
      <c r="D72" s="663"/>
      <c r="E72" s="663"/>
      <c r="F72" s="663"/>
      <c r="G72" s="663"/>
      <c r="H72" s="663"/>
      <c r="I72" s="663"/>
      <c r="J72" s="663"/>
      <c r="K72" s="663"/>
      <c r="L72" s="663"/>
      <c r="M72" s="664"/>
      <c r="N72" s="2044"/>
      <c r="O72" s="2044"/>
      <c r="P72" s="2043"/>
      <c r="Q72" s="2036"/>
      <c r="R72" s="1902"/>
      <c r="S72" s="1902"/>
      <c r="T72" s="1902"/>
      <c r="U72" s="1902"/>
      <c r="V72" s="1902"/>
      <c r="W72" s="1902"/>
      <c r="X72" s="1902"/>
      <c r="Y72" s="1902"/>
      <c r="Z72" s="1902"/>
      <c r="AA72" s="1902"/>
      <c r="AB72" s="1902"/>
      <c r="AC72" s="1902"/>
    </row>
    <row r="73" spans="1:29" s="1201" customFormat="1" ht="15.75" thickTop="1">
      <c r="A73" s="701"/>
      <c r="B73" s="665">
        <f>B24</f>
        <v>111</v>
      </c>
      <c r="C73" s="535"/>
      <c r="D73" s="535"/>
      <c r="E73" s="535"/>
      <c r="F73" s="535"/>
      <c r="G73" s="680"/>
      <c r="H73" s="680"/>
      <c r="I73" s="680"/>
      <c r="J73" s="680"/>
      <c r="K73" s="680"/>
      <c r="L73" s="680"/>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9"/>
      <c r="B75" s="665">
        <f>B25</f>
        <v>111</v>
      </c>
      <c r="C75" s="535"/>
      <c r="D75" s="535"/>
      <c r="E75" s="535"/>
      <c r="F75" s="535"/>
      <c r="G75" s="680"/>
      <c r="H75" s="681"/>
      <c r="I75" s="681"/>
      <c r="J75" s="681"/>
      <c r="K75" s="681"/>
      <c r="L75" s="682"/>
      <c r="M75" s="683"/>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9"/>
      <c r="B76" s="670"/>
      <c r="C76" s="684"/>
      <c r="D76" s="684"/>
      <c r="E76" s="684"/>
      <c r="F76" s="684"/>
      <c r="G76" s="663"/>
      <c r="H76" s="663"/>
      <c r="I76" s="663"/>
      <c r="J76" s="663"/>
      <c r="K76" s="663"/>
      <c r="L76" s="663"/>
      <c r="M76" s="664"/>
      <c r="N76" s="2045"/>
      <c r="O76" s="2045"/>
      <c r="P76" s="2046"/>
      <c r="Q76" s="2047"/>
      <c r="R76" s="2048"/>
      <c r="S76" s="2048"/>
      <c r="T76" s="2048"/>
      <c r="U76" s="2048"/>
      <c r="V76" s="2048"/>
      <c r="W76" s="2048"/>
      <c r="X76" s="2048"/>
      <c r="Y76" s="2048"/>
      <c r="Z76" s="2048"/>
      <c r="AA76" s="2048"/>
      <c r="AB76" s="2048"/>
      <c r="AC76" s="2048"/>
    </row>
    <row r="77" spans="1:29" ht="15" thickTop="1">
      <c r="A77" s="656" t="s">
        <v>545</v>
      </c>
      <c r="B77" s="657" t="s">
        <v>745</v>
      </c>
      <c r="C77" s="680"/>
      <c r="D77" s="680"/>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0"/>
      <c r="O79" s="2040"/>
      <c r="P79" s="2043"/>
      <c r="Q79" s="2036"/>
      <c r="R79" s="2024"/>
      <c r="S79" s="2024"/>
      <c r="T79" s="2024"/>
      <c r="U79" s="2024"/>
      <c r="V79" s="2024"/>
      <c r="W79" s="2024"/>
      <c r="X79" s="2024"/>
      <c r="Y79" s="2024"/>
      <c r="Z79" s="2024"/>
      <c r="AA79" s="2024"/>
      <c r="AB79" s="2024"/>
      <c r="AC79" s="2024"/>
    </row>
    <row r="80" spans="1:29" ht="15">
      <c r="A80" s="661"/>
      <c r="B80" s="673"/>
      <c r="C80" s="883">
        <v>0.5</v>
      </c>
      <c r="D80" s="883">
        <v>0.6</v>
      </c>
      <c r="E80" s="883">
        <v>0.7</v>
      </c>
      <c r="F80" s="883">
        <v>0.8</v>
      </c>
      <c r="G80" s="883">
        <v>0.9</v>
      </c>
      <c r="H80" s="883">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7"/>
      <c r="B82" s="673" t="s">
        <v>811</v>
      </c>
      <c r="C82" s="680"/>
      <c r="D82" s="680"/>
      <c r="E82" s="710"/>
      <c r="F82" s="710"/>
      <c r="G82" s="710"/>
      <c r="H82" s="710"/>
      <c r="I82" s="710"/>
      <c r="J82" s="710"/>
      <c r="K82" s="711"/>
      <c r="L82" s="712"/>
      <c r="M82" s="713"/>
      <c r="N82" s="2042"/>
      <c r="O82" s="2042"/>
      <c r="P82" s="2043"/>
      <c r="Q82" s="2036"/>
      <c r="R82" s="2024"/>
      <c r="S82" s="2024"/>
      <c r="T82" s="2024"/>
      <c r="U82" s="2024"/>
      <c r="V82" s="2024"/>
      <c r="W82" s="2024"/>
      <c r="X82" s="2024"/>
      <c r="Y82" s="2024"/>
      <c r="Z82" s="2024"/>
      <c r="AA82" s="2024"/>
      <c r="AB82" s="2024"/>
      <c r="AC82" s="2024"/>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7"/>
      <c r="B84" s="665" t="s">
        <v>819</v>
      </c>
      <c r="C84" s="680"/>
      <c r="D84" s="680"/>
      <c r="E84" s="680"/>
      <c r="F84" s="680"/>
      <c r="G84" s="680"/>
      <c r="H84" s="680"/>
      <c r="I84" s="710"/>
      <c r="J84" s="710"/>
      <c r="K84" s="711"/>
      <c r="L84" s="712"/>
      <c r="M84" s="713"/>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2"/>
      <c r="O86" s="2042"/>
      <c r="P86" s="2043"/>
      <c r="Q86" s="2036"/>
      <c r="R86" s="2024"/>
      <c r="S86" s="2024"/>
      <c r="T86" s="2024"/>
      <c r="U86" s="2024"/>
      <c r="V86" s="2024"/>
      <c r="W86" s="2024"/>
      <c r="X86" s="2024"/>
      <c r="Y86" s="2024"/>
      <c r="Z86" s="2024"/>
      <c r="AA86" s="2024"/>
      <c r="AB86" s="2024"/>
      <c r="AC86" s="2024"/>
    </row>
    <row r="87" spans="1:29">
      <c r="A87" s="727"/>
      <c r="B87" s="673"/>
      <c r="C87" s="722"/>
      <c r="D87" s="722"/>
      <c r="E87" s="722"/>
      <c r="F87" s="722"/>
      <c r="G87" s="722"/>
      <c r="H87" s="722"/>
      <c r="I87" s="722"/>
      <c r="J87" s="723"/>
      <c r="K87" s="723"/>
      <c r="L87" s="724"/>
      <c r="M87" s="725"/>
      <c r="N87" s="2042"/>
      <c r="O87" s="2042"/>
      <c r="P87" s="2043"/>
      <c r="Q87" s="2036"/>
      <c r="R87" s="2024"/>
      <c r="S87" s="2024"/>
      <c r="T87" s="2024"/>
      <c r="U87" s="2024"/>
      <c r="V87" s="2024"/>
      <c r="W87" s="2024"/>
      <c r="X87" s="2024"/>
      <c r="Y87" s="2024"/>
      <c r="Z87" s="2024"/>
      <c r="AA87" s="2024"/>
      <c r="AB87" s="2024"/>
      <c r="AC87" s="2024"/>
    </row>
    <row r="88" spans="1:29" ht="15.75" thickBot="1">
      <c r="A88" s="661"/>
      <c r="B88" s="670"/>
      <c r="C88" s="684"/>
      <c r="D88" s="663"/>
      <c r="E88" s="663"/>
      <c r="F88" s="663"/>
      <c r="G88" s="663"/>
      <c r="H88" s="663"/>
      <c r="I88" s="663"/>
      <c r="J88" s="663"/>
      <c r="K88" s="663"/>
      <c r="L88" s="663"/>
      <c r="M88" s="663"/>
      <c r="N88" s="2044"/>
      <c r="O88" s="2044"/>
      <c r="P88" s="2043"/>
      <c r="Q88" s="2036"/>
      <c r="R88" s="2024"/>
      <c r="S88" s="2024"/>
      <c r="T88" s="2024"/>
      <c r="U88" s="2024"/>
      <c r="V88" s="2024"/>
      <c r="W88" s="2024"/>
      <c r="X88" s="2024"/>
      <c r="Y88" s="2024"/>
      <c r="Z88" s="2024"/>
      <c r="AA88" s="2024"/>
      <c r="AB88" s="2024"/>
      <c r="AC88" s="2024"/>
    </row>
    <row r="89" spans="1:29" s="1291" customFormat="1" ht="15" thickTop="1">
      <c r="A89" s="720"/>
      <c r="B89" s="665" t="s">
        <v>821</v>
      </c>
      <c r="C89" s="680"/>
      <c r="D89" s="680"/>
      <c r="E89" s="680"/>
      <c r="F89" s="680"/>
      <c r="G89" s="680"/>
      <c r="H89" s="680"/>
      <c r="I89" s="680"/>
      <c r="J89" s="680"/>
      <c r="K89" s="680"/>
      <c r="L89" s="680"/>
      <c r="M89" s="880"/>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9"/>
      <c r="B90" s="670"/>
      <c r="C90" s="684"/>
      <c r="D90" s="663"/>
      <c r="E90" s="663"/>
      <c r="F90" s="663"/>
      <c r="G90" s="663"/>
      <c r="H90" s="663"/>
      <c r="I90" s="663"/>
      <c r="J90" s="663"/>
      <c r="K90" s="663"/>
      <c r="L90" s="663"/>
      <c r="M90" s="664"/>
      <c r="N90" s="2045"/>
      <c r="O90" s="2045"/>
      <c r="P90" s="2046"/>
      <c r="Q90" s="2047"/>
      <c r="R90" s="2048"/>
      <c r="S90" s="2048"/>
      <c r="T90" s="2048"/>
      <c r="U90" s="2048"/>
      <c r="V90" s="2048"/>
      <c r="W90" s="2048"/>
      <c r="X90" s="2048"/>
      <c r="Y90" s="2048"/>
      <c r="Z90" s="2048"/>
      <c r="AA90" s="2048"/>
      <c r="AB90" s="2048"/>
      <c r="AC90" s="2048"/>
    </row>
    <row r="91" spans="1:29" ht="15" thickTop="1">
      <c r="A91" s="727"/>
      <c r="B91" s="665">
        <f>B32</f>
        <v>111</v>
      </c>
      <c r="C91" s="535"/>
      <c r="D91" s="535"/>
      <c r="E91" s="535"/>
      <c r="F91" s="535"/>
      <c r="G91" s="680"/>
      <c r="H91" s="681"/>
      <c r="I91" s="681"/>
      <c r="J91" s="681"/>
      <c r="K91" s="681"/>
      <c r="L91" s="682"/>
      <c r="M91" s="683"/>
      <c r="N91" s="2042"/>
      <c r="O91" s="2042"/>
      <c r="P91" s="2043"/>
      <c r="Q91" s="2036"/>
      <c r="R91" s="2024"/>
      <c r="S91" s="2024"/>
      <c r="T91" s="2024"/>
      <c r="U91" s="2024"/>
      <c r="V91" s="2024"/>
      <c r="W91" s="2024"/>
      <c r="X91" s="2024"/>
      <c r="Y91" s="2024"/>
      <c r="Z91" s="2024"/>
      <c r="AA91" s="2024"/>
      <c r="AB91" s="2024"/>
      <c r="AC91" s="2024"/>
    </row>
    <row r="92" spans="1:29" ht="15.75" thickBot="1">
      <c r="A92" s="661"/>
      <c r="B92" s="670"/>
      <c r="C92" s="684"/>
      <c r="D92" s="663"/>
      <c r="E92" s="663"/>
      <c r="F92" s="663"/>
      <c r="G92" s="684"/>
      <c r="H92" s="685"/>
      <c r="I92" s="685"/>
      <c r="J92" s="685"/>
      <c r="K92" s="685"/>
      <c r="L92" s="685"/>
      <c r="M92" s="686"/>
      <c r="N92" s="2044"/>
      <c r="O92" s="2044"/>
      <c r="P92" s="2043"/>
      <c r="Q92" s="2036"/>
      <c r="R92" s="2024"/>
      <c r="S92" s="2024"/>
      <c r="T92" s="2024"/>
      <c r="U92" s="2024"/>
      <c r="V92" s="2024"/>
      <c r="W92" s="2024"/>
      <c r="X92" s="2024"/>
      <c r="Y92" s="2024"/>
      <c r="Z92" s="2024"/>
      <c r="AA92" s="2024"/>
      <c r="AB92" s="2024"/>
      <c r="AC92" s="2024"/>
    </row>
    <row r="93" spans="1:29" ht="15" thickTop="1">
      <c r="A93" s="727"/>
      <c r="B93" s="665">
        <f>B33</f>
        <v>111</v>
      </c>
      <c r="C93" s="535"/>
      <c r="D93" s="535"/>
      <c r="E93" s="535"/>
      <c r="F93" s="535"/>
      <c r="G93" s="680"/>
      <c r="H93" s="681"/>
      <c r="I93" s="681"/>
      <c r="J93" s="681"/>
      <c r="K93" s="681"/>
      <c r="L93" s="682"/>
      <c r="M93" s="68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84"/>
      <c r="D94" s="663"/>
      <c r="E94" s="663"/>
      <c r="F94" s="663"/>
      <c r="G94" s="684"/>
      <c r="H94" s="685"/>
      <c r="I94" s="685"/>
      <c r="J94" s="685"/>
      <c r="K94" s="685"/>
      <c r="L94" s="685"/>
      <c r="M94" s="686"/>
      <c r="N94" s="2044"/>
      <c r="O94" s="2044"/>
      <c r="P94" s="2043"/>
      <c r="Q94" s="2036"/>
      <c r="R94" s="2024"/>
      <c r="S94" s="2024"/>
      <c r="T94" s="2024"/>
      <c r="U94" s="2024"/>
      <c r="V94" s="2024"/>
      <c r="W94" s="2024"/>
      <c r="X94" s="2024"/>
      <c r="Y94" s="2024"/>
      <c r="Z94" s="2024"/>
      <c r="AA94" s="2024"/>
      <c r="AB94" s="2024"/>
      <c r="AC94" s="2024"/>
    </row>
    <row r="95" spans="1:29" ht="15" thickTop="1">
      <c r="A95" s="727"/>
      <c r="B95" s="905">
        <f>B34</f>
        <v>111</v>
      </c>
      <c r="C95" s="535"/>
      <c r="D95" s="535"/>
      <c r="E95" s="535"/>
      <c r="F95" s="535"/>
      <c r="G95" s="680"/>
      <c r="H95" s="681"/>
      <c r="I95" s="681"/>
      <c r="J95" s="681"/>
      <c r="K95" s="681"/>
      <c r="L95" s="682"/>
      <c r="M95" s="683"/>
      <c r="N95" s="2044"/>
      <c r="O95" s="2044"/>
      <c r="P95" s="2083"/>
      <c r="Q95" s="2084"/>
      <c r="R95" s="2024"/>
      <c r="S95" s="2024"/>
      <c r="T95" s="2024"/>
      <c r="U95" s="2024"/>
      <c r="V95" s="2024"/>
      <c r="W95" s="2024"/>
      <c r="X95" s="2024"/>
      <c r="Y95" s="2024"/>
      <c r="Z95" s="2024"/>
      <c r="AA95" s="2024"/>
      <c r="AB95" s="2024"/>
      <c r="AC95" s="2024"/>
    </row>
    <row r="96" spans="1:29" ht="15.75" thickBot="1">
      <c r="A96" s="661"/>
      <c r="B96" s="670"/>
      <c r="C96" s="684"/>
      <c r="D96" s="684"/>
      <c r="E96" s="684"/>
      <c r="F96" s="684"/>
      <c r="G96" s="684"/>
      <c r="H96" s="685"/>
      <c r="I96" s="685"/>
      <c r="J96" s="685"/>
      <c r="K96" s="685"/>
      <c r="L96" s="685"/>
      <c r="M96" s="686"/>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zoomScale="80" zoomScaleNormal="60" zoomScaleSheetLayoutView="80" workbookViewId="0">
      <selection activeCell="G43" sqref="G4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35</v>
      </c>
      <c r="D1" s="2795" t="s">
        <v>3432</v>
      </c>
      <c r="E1" s="2239" t="s">
        <v>861</v>
      </c>
      <c r="F1" s="2240">
        <f ca="1">J53</f>
        <v>33.229999999999997</v>
      </c>
      <c r="G1" s="3256">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7164</v>
      </c>
      <c r="C2" s="3261"/>
      <c r="D2" s="3262"/>
      <c r="E2" s="3263"/>
      <c r="F2" s="3263"/>
      <c r="G2" s="3257"/>
      <c r="H2" s="1937"/>
      <c r="I2" s="1937"/>
      <c r="J2" s="1937"/>
      <c r="K2" s="1938"/>
      <c r="L2" s="1937"/>
      <c r="M2" s="1937"/>
    </row>
    <row r="3" spans="1:33" ht="18" customHeight="1" thickBot="1">
      <c r="A3" s="822" t="s">
        <v>789</v>
      </c>
      <c r="B3" s="823">
        <f ca="1">IF(ISERROR(B2*10000/F43),0,ROUND(B2*10000/F43,0))</f>
        <v>1865</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757</v>
      </c>
      <c r="D5" s="2346" t="s">
        <v>2440</v>
      </c>
      <c r="E5" s="2340"/>
      <c r="F5" s="2341"/>
      <c r="G5" s="1942"/>
      <c r="H5" s="771">
        <v>1</v>
      </c>
      <c r="I5" s="772" t="s">
        <v>2437</v>
      </c>
      <c r="J5" s="55">
        <f ca="1">J6+J10+J12</f>
        <v>0</v>
      </c>
      <c r="K5" s="2346" t="s">
        <v>2440</v>
      </c>
      <c r="L5" s="2340"/>
      <c r="M5" s="2341"/>
    </row>
    <row r="6" spans="1:33" ht="18" customHeight="1">
      <c r="A6" s="1742" t="s">
        <v>1814</v>
      </c>
      <c r="B6" s="3746" t="s">
        <v>2442</v>
      </c>
      <c r="C6" s="773">
        <f ca="1">ROUND(F6*F8*F7*(1-F9)/10000,0)</f>
        <v>757</v>
      </c>
      <c r="D6" s="2347" t="s">
        <v>2441</v>
      </c>
      <c r="E6" s="774" t="s">
        <v>631</v>
      </c>
      <c r="F6" s="775">
        <f ca="1">INDIRECT("'数据-取费表'!u"&amp;$G$1)</f>
        <v>0.6</v>
      </c>
      <c r="G6" s="1942"/>
      <c r="H6" s="2354" t="s">
        <v>1814</v>
      </c>
      <c r="I6" s="3746" t="s">
        <v>2442</v>
      </c>
      <c r="J6" s="773">
        <f ca="1">ROUND(M6*M8*M7*(1-M9)/10000,0)</f>
        <v>0</v>
      </c>
      <c r="K6" s="339" t="s">
        <v>1727</v>
      </c>
      <c r="L6" s="774" t="s">
        <v>631</v>
      </c>
      <c r="M6" s="775">
        <f ca="1">INDIRECT("'数据-取费表'!z"&amp;$G$1)</f>
        <v>0</v>
      </c>
    </row>
    <row r="7" spans="1:33" ht="18" customHeight="1">
      <c r="A7" s="2350"/>
      <c r="B7" s="3747"/>
      <c r="C7" s="778"/>
      <c r="D7" s="779"/>
      <c r="E7" s="774" t="s">
        <v>632</v>
      </c>
      <c r="F7" s="775">
        <f ca="1">IF(INDIRECT("'数据-取费表'!ah"&amp;$G$1)="",INDIRECT("'数据-取费表'!k"&amp;$G$1),INDIRECT("'数据-取费表'!ah"&amp;$G$1))</f>
        <v>38416.43</v>
      </c>
      <c r="G7" s="1942"/>
      <c r="H7" s="2339"/>
      <c r="I7" s="3747"/>
      <c r="J7" s="778"/>
      <c r="K7" s="779"/>
      <c r="L7" s="774" t="s">
        <v>632</v>
      </c>
      <c r="M7" s="775">
        <f ca="1">F7</f>
        <v>38416.43</v>
      </c>
    </row>
    <row r="8" spans="1:33" ht="18" customHeight="1">
      <c r="A8" s="2343"/>
      <c r="B8" s="3748"/>
      <c r="C8" s="778"/>
      <c r="D8" s="779"/>
      <c r="E8" s="774" t="s">
        <v>633</v>
      </c>
      <c r="F8" s="775">
        <f ca="1">INDIRECT("'数据-取费表'!ai"&amp;$G$1)</f>
        <v>365</v>
      </c>
      <c r="G8" s="1942"/>
      <c r="H8" s="2339"/>
      <c r="I8" s="3748"/>
      <c r="J8" s="778"/>
      <c r="K8" s="779"/>
      <c r="L8" s="774" t="s">
        <v>633</v>
      </c>
      <c r="M8" s="775">
        <f ca="1">INDIRECT("'数据-取费表'!ai"&amp;$G$1)</f>
        <v>365</v>
      </c>
    </row>
    <row r="9" spans="1:33" ht="18" customHeight="1">
      <c r="A9" s="776"/>
      <c r="B9" s="3749"/>
      <c r="C9" s="778"/>
      <c r="D9" s="779"/>
      <c r="E9" s="774" t="s">
        <v>1731</v>
      </c>
      <c r="F9" s="784">
        <f ca="1">INDIRECT("'数据-取费表'!w"&amp;$G$1)</f>
        <v>0.1</v>
      </c>
      <c r="G9" s="1942"/>
      <c r="H9" s="2355"/>
      <c r="I9" s="3748"/>
      <c r="J9" s="778"/>
      <c r="K9" s="779"/>
      <c r="L9" s="785" t="s">
        <v>1731</v>
      </c>
      <c r="M9" s="786">
        <f ca="1">INDIRECT("'数据-取费表'!ab"&amp;$G$1)</f>
        <v>0</v>
      </c>
    </row>
    <row r="10" spans="1:33" ht="18" customHeight="1">
      <c r="A10" s="1742" t="s">
        <v>1815</v>
      </c>
      <c r="B10" s="2344" t="s">
        <v>2438</v>
      </c>
      <c r="C10" s="789">
        <f ca="1">ROUND(IF(F10="押一",C6/12*F11,IF(F10="押二",C6/12*2*F11,IF(F10="押三",C6/12*3*F11,C11*F11))),0)</f>
        <v>0</v>
      </c>
      <c r="D10" s="2351" t="s">
        <v>2931</v>
      </c>
      <c r="E10" s="2348" t="s">
        <v>2443</v>
      </c>
      <c r="F10" s="2462" t="s">
        <v>3441</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17955</v>
      </c>
      <c r="D13" s="1746" t="s">
        <v>2283</v>
      </c>
      <c r="E13" s="1746" t="s">
        <v>637</v>
      </c>
      <c r="F13" s="2386">
        <f ca="1">INDIRECT("'数据-取费表'!y"&amp;$G$1)</f>
        <v>1</v>
      </c>
      <c r="G13" s="1942"/>
      <c r="H13" s="1741">
        <v>2</v>
      </c>
      <c r="I13" s="1739" t="s">
        <v>638</v>
      </c>
      <c r="J13" s="1731">
        <f ca="1">ROUND(J14*J15,0)</f>
        <v>0</v>
      </c>
      <c r="K13" s="1733" t="s">
        <v>636</v>
      </c>
      <c r="L13" s="2402"/>
      <c r="M13" s="2403"/>
    </row>
    <row r="14" spans="1:33" ht="18" customHeight="1">
      <c r="A14" s="1573" t="s">
        <v>1821</v>
      </c>
      <c r="B14" s="774" t="s">
        <v>639</v>
      </c>
      <c r="C14" s="794">
        <f ca="1">INDIRECT("'数据-取费表'!m"&amp;$G$1)+INDIRECT("'数据-取费表'!t"&amp;$G$1)</f>
        <v>12541</v>
      </c>
      <c r="D14" s="3277" t="s">
        <v>1735</v>
      </c>
      <c r="E14" s="3276"/>
      <c r="F14" s="795"/>
      <c r="G14" s="1942"/>
      <c r="H14" s="1574" t="s">
        <v>1814</v>
      </c>
      <c r="I14" s="2108" t="s">
        <v>2801</v>
      </c>
      <c r="J14" s="53">
        <f ca="1">C29</f>
        <v>17955</v>
      </c>
      <c r="K14" s="26"/>
      <c r="L14" s="791"/>
      <c r="M14" s="792"/>
    </row>
    <row r="15" spans="1:33" s="1944" customFormat="1" ht="18" customHeight="1" thickBot="1">
      <c r="A15" s="1573" t="s">
        <v>1822</v>
      </c>
      <c r="B15" s="774" t="s">
        <v>641</v>
      </c>
      <c r="C15" s="53">
        <f ca="1">ROUND(C14*F15,0)</f>
        <v>376</v>
      </c>
      <c r="D15" s="796" t="s">
        <v>1736</v>
      </c>
      <c r="E15" s="796" t="s">
        <v>643</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1736</v>
      </c>
      <c r="E16" s="774" t="s">
        <v>643</v>
      </c>
      <c r="F16" s="799">
        <f ca="1">IF(INDIRECT("'数据-取费表'!c"&amp;$G$1)="住宅",'数据-取费表'!B34,0)</f>
        <v>0</v>
      </c>
      <c r="G16" s="1942"/>
      <c r="H16" s="1741" t="s">
        <v>1738</v>
      </c>
      <c r="I16" s="1739" t="s">
        <v>645</v>
      </c>
      <c r="J16" s="782">
        <f ca="1">ROUND(J17+J22+J23+J24,0)</f>
        <v>1779</v>
      </c>
      <c r="K16" s="1733" t="s">
        <v>1740</v>
      </c>
      <c r="L16" s="3279"/>
      <c r="M16" s="2341"/>
    </row>
    <row r="17" spans="1:33" s="1944" customFormat="1" ht="18" customHeight="1">
      <c r="A17" s="1573" t="s">
        <v>1877</v>
      </c>
      <c r="B17" s="774" t="s">
        <v>647</v>
      </c>
      <c r="C17" s="53">
        <f ca="1">ROUND(F17*(F43+INDIRECT("'数据-取费表'!S"&amp;$G$1))/10000,0)</f>
        <v>836</v>
      </c>
      <c r="D17" s="774" t="s">
        <v>648</v>
      </c>
      <c r="E17" s="774" t="s">
        <v>649</v>
      </c>
      <c r="F17" s="56">
        <f>'数据-取费表'!B35</f>
        <v>200</v>
      </c>
      <c r="G17" s="3258"/>
      <c r="H17" s="1574" t="s">
        <v>1814</v>
      </c>
      <c r="I17" s="774" t="s">
        <v>650</v>
      </c>
      <c r="J17" s="3016">
        <f ca="1">ROUND(IF(AND(项目基本情况!B11="自然人",项目基本情况!B10="北京市"),J6*M17/(1+'数据-取费表'!C42),J18+J19+J20),0)</f>
        <v>1510</v>
      </c>
      <c r="K17" s="3277" t="s">
        <v>1743</v>
      </c>
      <c r="L17" s="3278"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188</v>
      </c>
      <c r="D18" s="774" t="s">
        <v>1736</v>
      </c>
      <c r="E18" s="774" t="s">
        <v>643</v>
      </c>
      <c r="F18" s="799">
        <f>'数据-取费表'!B36</f>
        <v>1.4999999999999999E-2</v>
      </c>
      <c r="G18" s="3258"/>
      <c r="H18" s="1573" t="s">
        <v>1821</v>
      </c>
      <c r="I18" s="774" t="s">
        <v>1745</v>
      </c>
      <c r="J18" s="53">
        <f ca="1">ROUND(J6*M18/(1+'数据-取费表'!C42),1)</f>
        <v>0</v>
      </c>
      <c r="K18" s="3278" t="s">
        <v>655</v>
      </c>
      <c r="L18" s="774" t="s">
        <v>643</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13941</v>
      </c>
      <c r="D19" s="259" t="s">
        <v>657</v>
      </c>
      <c r="E19" s="3280"/>
      <c r="F19" s="56"/>
      <c r="G19" s="1942"/>
      <c r="H19" s="1573" t="s">
        <v>1822</v>
      </c>
      <c r="I19" s="774" t="s">
        <v>1748</v>
      </c>
      <c r="J19" s="53">
        <f ca="1">IF(K19="按租金收入计税",ROUND(J6*M19/(1+'数据-取费表'!C42),1),ROUND(C29*F33*0.7,1))</f>
        <v>1508.2</v>
      </c>
      <c r="K19" s="800" t="s">
        <v>659</v>
      </c>
      <c r="L19" s="774" t="s">
        <v>643</v>
      </c>
      <c r="M19" s="799">
        <f>IF(K19="按租金收入计税",'数据-取费表'!B51,'数据-取费表'!B50)</f>
        <v>1.2E-2</v>
      </c>
    </row>
    <row r="20" spans="1:33" s="1944" customFormat="1" ht="18" customHeight="1">
      <c r="A20" s="1574" t="s">
        <v>1879</v>
      </c>
      <c r="B20" s="774" t="s">
        <v>660</v>
      </c>
      <c r="C20" s="53">
        <f ca="1">ROUND(C19*F20,0)</f>
        <v>279</v>
      </c>
      <c r="D20" s="801" t="s">
        <v>1749</v>
      </c>
      <c r="E20" s="774" t="s">
        <v>643</v>
      </c>
      <c r="F20" s="799">
        <f>'数据-取费表'!B37</f>
        <v>0.02</v>
      </c>
      <c r="G20" s="3258"/>
      <c r="H20" s="1576" t="s">
        <v>1823</v>
      </c>
      <c r="I20" s="339" t="s">
        <v>662</v>
      </c>
      <c r="J20" s="54">
        <f ca="1">ROUND(M20*M21/10000,0)</f>
        <v>2</v>
      </c>
      <c r="K20" s="803" t="s">
        <v>663</v>
      </c>
      <c r="L20" s="774" t="s">
        <v>664</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665</v>
      </c>
      <c r="C21" s="53" t="s">
        <v>1754</v>
      </c>
      <c r="D21" s="801" t="s">
        <v>2284</v>
      </c>
      <c r="E21" s="774" t="s">
        <v>667</v>
      </c>
      <c r="F21" s="799">
        <f>'数据-取费表'!B38</f>
        <v>0.02</v>
      </c>
      <c r="G21" s="3258"/>
      <c r="H21" s="2356"/>
      <c r="I21" s="783"/>
      <c r="J21" s="69"/>
      <c r="K21" s="805"/>
      <c r="L21" s="774" t="s">
        <v>1756</v>
      </c>
      <c r="M21" s="775">
        <f ca="1">INDIRECT("'数据-取费表'!r"&amp;$G$1)</f>
        <v>4128.16</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280"/>
      <c r="F22" s="56"/>
      <c r="G22" s="1942"/>
      <c r="H22" s="1574" t="s">
        <v>1879</v>
      </c>
      <c r="I22" s="774" t="s">
        <v>1758</v>
      </c>
      <c r="J22" s="53">
        <f ca="1">ROUND(J14*M22,0)</f>
        <v>269</v>
      </c>
      <c r="K22" s="3278" t="s">
        <v>1759</v>
      </c>
      <c r="L22" s="774" t="s">
        <v>643</v>
      </c>
      <c r="M22" s="806">
        <f ca="1">INDIRECT("'数据-取费表'!Ak"&amp;$G$1)</f>
        <v>1.4999999999999999E-2</v>
      </c>
    </row>
    <row r="23" spans="1:33" s="1944" customFormat="1" ht="18" customHeight="1">
      <c r="A23" s="1573" t="s">
        <v>1821</v>
      </c>
      <c r="B23" s="774" t="s">
        <v>2419</v>
      </c>
      <c r="C23" s="53">
        <f ca="1">ROUND(IF('数据-取费表'!B22&lt;=1,(C19+C20)*F24*F23/2,(C19+C20)*(POWER((1+F24),F23/2)-1)),0)</f>
        <v>938</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278" t="s">
        <v>1761</v>
      </c>
      <c r="L23" s="774" t="s">
        <v>643</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675</v>
      </c>
      <c r="C24" s="53">
        <f ca="1">ROUND(IF('数据-取费表'!B22&lt;=1,F21*F24*F23/2,F21*(POWER((1+F24),F23/2)-1)),4)</f>
        <v>1.2999999999999999E-3</v>
      </c>
      <c r="D24" s="2420" t="str">
        <f>IF(F23&lt;=1,"销售费用×利率×(建设周期÷2)","销售费用×((1+利率)^(建设周期÷2)-1)")</f>
        <v>销售费用×((1+利率)^(建设周期÷2)-1)</v>
      </c>
      <c r="E24" s="774" t="s">
        <v>676</v>
      </c>
      <c r="F24" s="808">
        <f ca="1">'数据-取费表'!B40</f>
        <v>4.3499999999999997E-2</v>
      </c>
      <c r="G24" s="3258"/>
      <c r="H24" s="2401" t="s">
        <v>1881</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280"/>
      <c r="F25" s="56"/>
      <c r="G25" s="1942"/>
      <c r="H25" s="1741" t="s">
        <v>1766</v>
      </c>
      <c r="I25" s="2720" t="s">
        <v>2798</v>
      </c>
      <c r="J25" s="782">
        <f ca="1">J5-J16</f>
        <v>-1779</v>
      </c>
      <c r="K25" s="2398" t="s">
        <v>1767</v>
      </c>
      <c r="L25" s="2399"/>
      <c r="M25" s="2400"/>
    </row>
    <row r="26" spans="1:33" ht="18" customHeight="1">
      <c r="A26" s="1573" t="s">
        <v>1821</v>
      </c>
      <c r="B26" s="774" t="s">
        <v>2420</v>
      </c>
      <c r="C26" s="53">
        <f ca="1">ROUND((C19+C20)*F26,0)</f>
        <v>1422</v>
      </c>
      <c r="D26" s="801" t="s">
        <v>695</v>
      </c>
      <c r="E26" s="785" t="s">
        <v>1769</v>
      </c>
      <c r="F26" s="784">
        <f ca="1">INDIRECT("'数据-取费表'!q"&amp;$G$1)</f>
        <v>0.1</v>
      </c>
      <c r="G26" s="1942"/>
      <c r="H26" s="2352" t="s">
        <v>1770</v>
      </c>
      <c r="I26" s="2109" t="s">
        <v>2803</v>
      </c>
      <c r="J26" s="773">
        <f ca="1">IF(J5&lt;&gt;0,ROUND(J25*(1-((1+M28)/(1+M26))^M27)/(M26-M28),0),0)</f>
        <v>0</v>
      </c>
      <c r="K26" s="803" t="s">
        <v>1771</v>
      </c>
      <c r="L26" s="774" t="s">
        <v>2402</v>
      </c>
      <c r="M26" s="784">
        <f ca="1">INDIRECT("'数据-取费表'!I"&amp;$G$1)</f>
        <v>4.4999999999999998E-2</v>
      </c>
    </row>
    <row r="27" spans="1:33" ht="18" customHeight="1">
      <c r="A27" s="1573" t="s">
        <v>1822</v>
      </c>
      <c r="B27" s="774" t="s">
        <v>680</v>
      </c>
      <c r="C27" s="53">
        <f ca="1">ROUND(F21*F26,4)</f>
        <v>2E-3</v>
      </c>
      <c r="D27" s="801" t="s">
        <v>700</v>
      </c>
      <c r="E27" s="796"/>
      <c r="F27" s="797"/>
      <c r="G27" s="1942"/>
      <c r="H27" s="2353"/>
      <c r="I27" s="777"/>
      <c r="J27" s="778"/>
      <c r="K27" s="810" t="s">
        <v>701</v>
      </c>
      <c r="L27" s="774" t="s">
        <v>1774</v>
      </c>
      <c r="M27" s="811">
        <f ca="1">INDIRECT("'数据-取费表'!ag"&amp;$G$1)</f>
        <v>0</v>
      </c>
    </row>
    <row r="28" spans="1:33" s="1944" customFormat="1" ht="18" customHeight="1">
      <c r="A28" s="1575" t="s">
        <v>1831</v>
      </c>
      <c r="B28" s="774" t="s">
        <v>681</v>
      </c>
      <c r="C28" s="53">
        <f>ROUND(F28/(1+'数据-取费表'!C42),4)</f>
        <v>5.33E-2</v>
      </c>
      <c r="D28" s="801" t="s">
        <v>2285</v>
      </c>
      <c r="E28" s="774" t="s">
        <v>643</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17955</v>
      </c>
      <c r="D29" s="2395"/>
      <c r="E29" s="2396"/>
      <c r="F29" s="2397"/>
      <c r="G29" s="3258"/>
      <c r="H29" s="812" t="s">
        <v>1777</v>
      </c>
      <c r="I29" s="813" t="s">
        <v>1778</v>
      </c>
      <c r="J29" s="814">
        <f ca="1">ROUND(J26/(1+F40)^F41,0)</f>
        <v>0</v>
      </c>
      <c r="K29" s="815" t="s">
        <v>682</v>
      </c>
      <c r="L29" s="816"/>
      <c r="M29" s="817">
        <f ca="1">INDIRECT("'数据-取费表'!k"&amp;$G$1)</f>
        <v>38416.43</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2">
        <f ca="1">ROUND(C31+C36+C37+C38,0)</f>
        <v>433</v>
      </c>
      <c r="D30" s="1733" t="s">
        <v>1740</v>
      </c>
      <c r="E30" s="3279"/>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129</v>
      </c>
      <c r="D31" s="3277" t="s">
        <v>1743</v>
      </c>
      <c r="E31" s="3278" t="s">
        <v>684</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1745</v>
      </c>
      <c r="C32" s="53">
        <f ca="1">ROUND(C6*F32/(1+'数据-取费表'!C42),1)</f>
        <v>40.4</v>
      </c>
      <c r="D32" s="3278" t="s">
        <v>655</v>
      </c>
      <c r="E32" s="774" t="s">
        <v>643</v>
      </c>
      <c r="F32" s="799">
        <f>'数据-取费表'!B41</f>
        <v>5.6000000000000001E-2</v>
      </c>
      <c r="G32" s="1942"/>
      <c r="H32" s="1951"/>
      <c r="I32" s="1952"/>
      <c r="J32" s="1953"/>
      <c r="K32" s="1954"/>
      <c r="L32" s="1955"/>
      <c r="M32" s="1956"/>
    </row>
    <row r="33" spans="1:18" ht="18" customHeight="1">
      <c r="A33" s="1573" t="s">
        <v>1822</v>
      </c>
      <c r="B33" s="774" t="s">
        <v>1748</v>
      </c>
      <c r="C33" s="53">
        <f ca="1">IF(D33="按租金收入计税",ROUND(C6*F33/(1+'数据-取费表'!C42),1),IF(D33="按房产原值计税",ROUND(C29*F33*0.7,1),INDIRECT("'数据-取费表'!Aj"&amp;$G$1)))</f>
        <v>86.5</v>
      </c>
      <c r="D33" s="800" t="s">
        <v>3434</v>
      </c>
      <c r="E33" s="774" t="s">
        <v>643</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2.5</v>
      </c>
      <c r="D34" s="803" t="s">
        <v>663</v>
      </c>
      <c r="E34" s="774" t="s">
        <v>664</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4128.16</v>
      </c>
      <c r="G35" s="1942"/>
      <c r="H35" s="1945"/>
      <c r="I35" s="826" t="s">
        <v>1804</v>
      </c>
      <c r="J35" s="827">
        <f ca="1">ROUND(C13*J36,0)</f>
        <v>1526</v>
      </c>
      <c r="K35" s="1958"/>
      <c r="L35" s="1957"/>
      <c r="M35" s="1957"/>
    </row>
    <row r="36" spans="1:18" ht="18" customHeight="1">
      <c r="A36" s="1574" t="s">
        <v>1879</v>
      </c>
      <c r="B36" s="774" t="s">
        <v>1758</v>
      </c>
      <c r="C36" s="53">
        <f ca="1">ROUND(C29*F36,1)</f>
        <v>269.3</v>
      </c>
      <c r="D36" s="3278" t="s">
        <v>685</v>
      </c>
      <c r="E36" s="774" t="s">
        <v>643</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26.9</v>
      </c>
      <c r="D37" s="3278" t="s">
        <v>1761</v>
      </c>
      <c r="E37" s="774" t="s">
        <v>643</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7.6</v>
      </c>
      <c r="D38" s="2395" t="s">
        <v>677</v>
      </c>
      <c r="E38" s="2396" t="s">
        <v>643</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324</v>
      </c>
      <c r="D39" s="2398" t="s">
        <v>1767</v>
      </c>
      <c r="E39" s="2399"/>
      <c r="F39" s="2400"/>
      <c r="G39" s="1942"/>
      <c r="H39" s="1957"/>
      <c r="I39" s="826" t="s">
        <v>1808</v>
      </c>
      <c r="J39" s="834">
        <f ca="1">ROUND(J35/C39,3)</f>
        <v>4.71</v>
      </c>
      <c r="K39" s="1962"/>
      <c r="L39" s="1957"/>
      <c r="M39" s="1957"/>
    </row>
    <row r="40" spans="1:18" ht="18" customHeight="1">
      <c r="A40" s="771" t="s">
        <v>1770</v>
      </c>
      <c r="B40" s="2109" t="s">
        <v>2287</v>
      </c>
      <c r="C40" s="773">
        <f ca="1">ROUND(C39*(1-((1+F42)/(1+F40))^F41)/(F40-F42),0)</f>
        <v>7164</v>
      </c>
      <c r="D40" s="803" t="s">
        <v>1771</v>
      </c>
      <c r="E40" s="774" t="s">
        <v>2402</v>
      </c>
      <c r="F40" s="784">
        <f ca="1">INDIRECT("'数据-取费表'!I"&amp;$G$1)</f>
        <v>4.4999999999999998E-2</v>
      </c>
      <c r="G40" s="1942"/>
      <c r="H40" s="1942"/>
      <c r="I40" s="826" t="s">
        <v>1809</v>
      </c>
      <c r="J40" s="834">
        <f ca="1">1-J39</f>
        <v>-3.71</v>
      </c>
      <c r="K40" s="1962"/>
      <c r="L40" s="1942"/>
      <c r="M40" s="1942"/>
    </row>
    <row r="41" spans="1:18" ht="18" customHeight="1">
      <c r="A41" s="776"/>
      <c r="B41" s="777"/>
      <c r="C41" s="778"/>
      <c r="D41" s="810" t="s">
        <v>1798</v>
      </c>
      <c r="E41" s="774" t="s">
        <v>1774</v>
      </c>
      <c r="F41" s="811">
        <f ca="1">IF(INDIRECT("'数据-取费表'!af"&amp;$G$1)=0,INDIRECT("'数据-取费表'!ae"&amp;$G$1),INDIRECT("'数据-取费表'!af"&amp;$G$1))</f>
        <v>33.229999999999997</v>
      </c>
      <c r="G41" s="1942"/>
      <c r="H41" s="1897"/>
      <c r="I41" s="832" t="s">
        <v>1810</v>
      </c>
      <c r="J41" s="835"/>
      <c r="K41" s="1961"/>
      <c r="L41" s="1897"/>
      <c r="M41" s="1897"/>
    </row>
    <row r="42" spans="1:18" ht="18" customHeight="1">
      <c r="A42" s="780"/>
      <c r="B42" s="781"/>
      <c r="C42" s="782"/>
      <c r="D42" s="805"/>
      <c r="E42" s="774" t="s">
        <v>1776</v>
      </c>
      <c r="F42" s="784">
        <f ca="1">INDIRECT("'数据-取费表'!v"&amp;$G$1)</f>
        <v>0.02</v>
      </c>
      <c r="G42" s="1942"/>
      <c r="H42" s="1897"/>
      <c r="I42" s="836" t="s">
        <v>1811</v>
      </c>
      <c r="J42" s="834">
        <f ca="1">ROUND(C13/C40,3)</f>
        <v>2.5059999999999998</v>
      </c>
      <c r="K42" s="1961"/>
      <c r="L42" s="1897"/>
      <c r="M42" s="1897"/>
    </row>
    <row r="43" spans="1:18" ht="18" customHeight="1" thickBot="1">
      <c r="A43" s="812" t="s">
        <v>1777</v>
      </c>
      <c r="B43" s="813" t="s">
        <v>1800</v>
      </c>
      <c r="C43" s="814">
        <f ca="1">ROUND(C40*10000/F43,0)</f>
        <v>1865</v>
      </c>
      <c r="D43" s="815" t="s">
        <v>1801</v>
      </c>
      <c r="E43" s="816" t="s">
        <v>1802</v>
      </c>
      <c r="F43" s="817">
        <f ca="1">INDIRECT("'数据-取费表'!k"&amp;$G$1)</f>
        <v>38416.43</v>
      </c>
      <c r="G43" s="1942"/>
      <c r="H43" s="1897"/>
      <c r="I43" s="836" t="s">
        <v>1812</v>
      </c>
      <c r="J43" s="837">
        <f ca="1">1-J42</f>
        <v>-1.5059999999999998</v>
      </c>
      <c r="K43" s="1961"/>
      <c r="L43" s="1897"/>
      <c r="M43" s="1897"/>
    </row>
    <row r="44" spans="1:18" s="1939" customFormat="1" ht="18" customHeight="1">
      <c r="A44" s="1964"/>
      <c r="B44" s="1964"/>
      <c r="C44" s="1981">
        <f ca="1">C40/F44</f>
        <v>7.4593084261083087</v>
      </c>
      <c r="D44" s="1964"/>
      <c r="E44" s="1964"/>
      <c r="F44" s="1964">
        <f ca="1">F43/40</f>
        <v>960.41075000000001</v>
      </c>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-12269</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36.229999999999997</v>
      </c>
      <c r="M48" s="3260"/>
      <c r="O48" s="2250" t="s">
        <v>2362</v>
      </c>
      <c r="P48" s="2251" t="s">
        <v>2388</v>
      </c>
      <c r="Q48" s="2252">
        <f ca="1">C40+J29</f>
        <v>7164</v>
      </c>
      <c r="R48" s="2251" t="s">
        <v>2363</v>
      </c>
    </row>
    <row r="49" spans="1:18" s="1939" customFormat="1" ht="18" customHeight="1" thickBot="1">
      <c r="A49" s="776"/>
      <c r="B49" s="777"/>
      <c r="C49" s="778"/>
      <c r="D49" s="779"/>
      <c r="E49" s="774" t="s">
        <v>632</v>
      </c>
      <c r="F49" s="775">
        <f ca="1">F7</f>
        <v>38416.43</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17955</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-27197</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33.229999999999997</v>
      </c>
      <c r="K53" s="3763" t="s">
        <v>2924</v>
      </c>
      <c r="L53" s="3764"/>
      <c r="M53" s="3260"/>
      <c r="O53" s="2253" t="s">
        <v>2371</v>
      </c>
      <c r="P53" s="2251" t="s">
        <v>2372</v>
      </c>
      <c r="Q53" s="2252">
        <f ca="1">J53</f>
        <v>33.229999999999997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7164</v>
      </c>
      <c r="R54" s="2255" t="s">
        <v>2375</v>
      </c>
    </row>
    <row r="55" spans="1:18" s="1939" customFormat="1" ht="18" customHeight="1" thickTop="1" thickBot="1">
      <c r="A55" s="787">
        <v>2</v>
      </c>
      <c r="B55" s="788" t="s">
        <v>638</v>
      </c>
      <c r="C55" s="789">
        <f ca="1">C13</f>
        <v>17955</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17955</v>
      </c>
      <c r="D56" s="3278"/>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1738</v>
      </c>
      <c r="B57" s="788" t="s">
        <v>645</v>
      </c>
      <c r="C57" s="789">
        <f ca="1">ROUND(C58+C63+C64+C65,0)</f>
        <v>299</v>
      </c>
      <c r="D57" s="26" t="s">
        <v>1740</v>
      </c>
      <c r="E57" s="3280"/>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7164</v>
      </c>
      <c r="R57" s="2251" t="s">
        <v>2363</v>
      </c>
    </row>
    <row r="58" spans="1:18" s="1939" customFormat="1" ht="28.5" customHeight="1" thickBot="1">
      <c r="A58" s="1574" t="s">
        <v>1814</v>
      </c>
      <c r="B58" s="774" t="s">
        <v>650</v>
      </c>
      <c r="C58" s="3016">
        <f ca="1">ROUND(IF(AND(项目基本情况!B11="自然人",项目基本情况!B10="北京市"),C48*F58/(1+'数据-取费表'!C42),C59+C60+C61),0)</f>
        <v>3</v>
      </c>
      <c r="D58" s="3277" t="s">
        <v>651</v>
      </c>
      <c r="E58" s="3278"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278" t="s">
        <v>655</v>
      </c>
      <c r="E59" s="774" t="s">
        <v>643</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f ca="1">IF(D60="按租金收入计税",ROUND(C47*F60,1),IF(D60="按房产原值计税",ROUND(C56*F60*0.7,1),INDIRECT("'数据-取费表'!Aj"&amp;$G$1)))</f>
        <v>0</v>
      </c>
      <c r="D60" s="3278" t="str">
        <f>D33</f>
        <v>按租金收入计税</v>
      </c>
      <c r="E60" s="774" t="s">
        <v>643</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2.5</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4128.16</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269.3</v>
      </c>
      <c r="D63" s="3278" t="s">
        <v>685</v>
      </c>
      <c r="E63" s="774" t="s">
        <v>643</v>
      </c>
      <c r="F63" s="806">
        <f t="shared" ca="1" si="0"/>
        <v>1.4999999999999999E-2</v>
      </c>
      <c r="I63" s="2821" t="s">
        <v>2353</v>
      </c>
      <c r="J63" s="2822">
        <v>70</v>
      </c>
      <c r="K63" s="2822">
        <v>50</v>
      </c>
      <c r="L63" s="2822">
        <v>80</v>
      </c>
      <c r="M63" s="2824">
        <v>0.02</v>
      </c>
      <c r="O63" s="2250" t="s">
        <v>2374</v>
      </c>
      <c r="P63" s="2251" t="s">
        <v>2391</v>
      </c>
      <c r="Q63" s="2252">
        <f ca="1">Q57+Q58</f>
        <v>7164</v>
      </c>
      <c r="R63" s="2255" t="s">
        <v>2375</v>
      </c>
    </row>
    <row r="64" spans="1:18" s="1939" customFormat="1" ht="16.5" thickBot="1">
      <c r="A64" s="1574" t="s">
        <v>1880</v>
      </c>
      <c r="B64" s="774" t="s">
        <v>673</v>
      </c>
      <c r="C64" s="53">
        <f ca="1">ROUND(C55*F64,1)</f>
        <v>26.9</v>
      </c>
      <c r="D64" s="3278" t="s">
        <v>674</v>
      </c>
      <c r="E64" s="774" t="s">
        <v>643</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278" t="s">
        <v>677</v>
      </c>
      <c r="E65" s="774" t="s">
        <v>643</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-299</v>
      </c>
      <c r="D66" s="3277" t="s">
        <v>694</v>
      </c>
      <c r="E66" s="3275"/>
      <c r="F66" s="809"/>
      <c r="K66" s="1965"/>
      <c r="O66" s="2250" t="s">
        <v>2362</v>
      </c>
      <c r="P66" s="2251" t="s">
        <v>2388</v>
      </c>
      <c r="Q66" s="2252">
        <f ca="1">C40+J29</f>
        <v>7164</v>
      </c>
      <c r="R66" s="2251" t="s">
        <v>2363</v>
      </c>
    </row>
    <row r="67" spans="1:18" s="1939" customFormat="1" ht="20.25" thickBot="1">
      <c r="A67" s="771" t="s">
        <v>1770</v>
      </c>
      <c r="B67" s="2109" t="s">
        <v>2287</v>
      </c>
      <c r="C67" s="773">
        <f ca="1">ROUND(C66*(1-((1+F69)/(1+F67))^F68)/(F67-F69),0)</f>
        <v>-5105</v>
      </c>
      <c r="D67" s="803" t="s">
        <v>698</v>
      </c>
      <c r="E67" s="774" t="s">
        <v>699</v>
      </c>
      <c r="F67" s="784">
        <f ca="1">F40</f>
        <v>4.4999999999999998E-2</v>
      </c>
      <c r="K67" s="1965"/>
      <c r="O67" s="2250" t="s">
        <v>2364</v>
      </c>
      <c r="P67" s="2251" t="s">
        <v>2395</v>
      </c>
      <c r="Q67" s="2252">
        <f ca="1">L60</f>
        <v>0</v>
      </c>
      <c r="R67" s="2255" t="s">
        <v>2397</v>
      </c>
    </row>
    <row r="68" spans="1:18" ht="21.75" thickBot="1">
      <c r="A68" s="776"/>
      <c r="B68" s="777"/>
      <c r="C68" s="778"/>
      <c r="D68" s="810" t="s">
        <v>1798</v>
      </c>
      <c r="E68" s="774" t="s">
        <v>1774</v>
      </c>
      <c r="F68" s="811">
        <f ca="1">F41</f>
        <v>33.229999999999997</v>
      </c>
      <c r="O68" s="2253" t="s">
        <v>2366</v>
      </c>
      <c r="P68" s="2251" t="s">
        <v>2396</v>
      </c>
      <c r="Q68" s="2257">
        <f ca="1">L51</f>
        <v>-27197</v>
      </c>
      <c r="R68" s="2258" t="s">
        <v>2399</v>
      </c>
    </row>
    <row r="69" spans="1:18" ht="20.25" thickBot="1">
      <c r="A69" s="780"/>
      <c r="B69" s="781"/>
      <c r="C69" s="782"/>
      <c r="D69" s="805"/>
      <c r="E69" s="774" t="s">
        <v>704</v>
      </c>
      <c r="F69" s="2223"/>
      <c r="O69" s="2253" t="s">
        <v>2367</v>
      </c>
      <c r="P69" s="2259" t="s">
        <v>2381</v>
      </c>
      <c r="Q69" s="2252">
        <f ca="1">ROUND(Q70-Q71*Q72,0)</f>
        <v>-1202</v>
      </c>
      <c r="R69" s="2255"/>
    </row>
    <row r="70" spans="1:18" ht="15.75" thickBot="1">
      <c r="A70" s="812" t="s">
        <v>1777</v>
      </c>
      <c r="B70" s="813" t="s">
        <v>1800</v>
      </c>
      <c r="C70" s="814">
        <f ca="1">ROUND(C67*10000/F70,0)</f>
        <v>-1329</v>
      </c>
      <c r="D70" s="815" t="s">
        <v>1801</v>
      </c>
      <c r="E70" s="816" t="s">
        <v>1802</v>
      </c>
      <c r="F70" s="817">
        <f ca="1">F43</f>
        <v>38416.43</v>
      </c>
      <c r="O70" s="2253" t="s">
        <v>2382</v>
      </c>
      <c r="P70" s="2259" t="s">
        <v>2383</v>
      </c>
      <c r="Q70" s="2252">
        <f ca="1">C39</f>
        <v>324</v>
      </c>
      <c r="R70" s="2251" t="s">
        <v>2363</v>
      </c>
    </row>
    <row r="71" spans="1:18" ht="15.75" thickBot="1">
      <c r="O71" s="2253" t="s">
        <v>2384</v>
      </c>
      <c r="P71" s="2259" t="s">
        <v>2385</v>
      </c>
      <c r="Q71" s="2252">
        <f ca="1">C13</f>
        <v>17955</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7164</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Normal="100" workbookViewId="0">
      <pane ySplit="24" topLeftCell="A25" activePane="bottomLeft" state="frozen"/>
      <selection pane="bottomLeft" activeCell="D18" sqref="D18"/>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5"/>
    <col min="36" max="16384" width="9" style="1202"/>
  </cols>
  <sheetData>
    <row r="1" spans="1:45" s="255" customFormat="1" ht="14.25" customHeight="1" thickBot="1">
      <c r="A1" s="363"/>
      <c r="B1" s="2111" t="s">
        <v>2289</v>
      </c>
      <c r="C1" s="3789" t="s">
        <v>2290</v>
      </c>
      <c r="D1" s="3790"/>
      <c r="E1" s="3790"/>
      <c r="F1" s="3790"/>
      <c r="G1" s="3790"/>
      <c r="H1" s="3790"/>
      <c r="I1" s="3790"/>
      <c r="J1" s="3790"/>
      <c r="K1" s="3790"/>
      <c r="L1" s="3790"/>
      <c r="M1" s="3790"/>
      <c r="N1" s="3790"/>
      <c r="O1" s="3790"/>
      <c r="P1" s="3790"/>
      <c r="Q1" s="3790"/>
      <c r="R1" s="3790"/>
      <c r="S1" s="3791"/>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v>0</v>
      </c>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v>100</v>
      </c>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2889</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2888</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2887</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hidden="1">
      <c r="A11" s="2128"/>
      <c r="B11" s="2774" t="s">
        <v>2900</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hidden="1"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hidden="1">
      <c r="A13" s="2128"/>
      <c r="B13" s="2774" t="s">
        <v>2886</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hidden="1"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hidden="1">
      <c r="A15" s="2128"/>
      <c r="B15" s="2774" t="s">
        <v>2885</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hidden="1"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t="str">
        <f>'不动产比较法-商业'!C92</f>
        <v>一层</v>
      </c>
      <c r="D17" s="2156" t="str">
        <f>'不动产比较法-商业'!D92</f>
        <v>二层</v>
      </c>
      <c r="E17" s="2156" t="str">
        <f>'不动产比较法-商业'!E92</f>
        <v>三层</v>
      </c>
      <c r="F17" s="2156" t="str">
        <f>'不动产比较法-商业'!F92</f>
        <v>地下一层</v>
      </c>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f>'不动产比较法-商业'!C93</f>
        <v>100</v>
      </c>
      <c r="D18" s="2168">
        <f>'不动产比较法-商业'!D93</f>
        <v>70</v>
      </c>
      <c r="E18" s="2168">
        <f>'不动产比较法-商业'!E93</f>
        <v>50</v>
      </c>
      <c r="F18" s="2168">
        <f>'不动产比较法-商业'!F93</f>
        <v>60</v>
      </c>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9"/>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5">
        <f>S22</f>
        <v>63224</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5">
        <f>R22</f>
        <v>37395</v>
      </c>
      <c r="C21" s="1899"/>
      <c r="D21" s="1899"/>
      <c r="E21" s="1899"/>
      <c r="F21" s="1899"/>
      <c r="G21" s="1899"/>
      <c r="H21" s="1899"/>
      <c r="I21" s="1899"/>
      <c r="J21" s="1899"/>
      <c r="K21" s="1899"/>
      <c r="L21" s="1899"/>
      <c r="M21" s="1899"/>
      <c r="N21" s="1899"/>
      <c r="O21" s="1899"/>
      <c r="P21" s="1899"/>
      <c r="Q21" s="1899"/>
      <c r="R21" s="2102"/>
      <c r="S21" s="1908"/>
    </row>
    <row r="22" spans="1:45">
      <c r="A22" s="789" t="s">
        <v>823</v>
      </c>
      <c r="B22" s="53">
        <f>SUM(B24:B10000)</f>
        <v>16906.949999999997</v>
      </c>
      <c r="C22" s="3786" t="s">
        <v>20</v>
      </c>
      <c r="D22" s="3787"/>
      <c r="E22" s="3787"/>
      <c r="F22" s="3787"/>
      <c r="G22" s="3787"/>
      <c r="H22" s="3787"/>
      <c r="I22" s="3787"/>
      <c r="J22" s="3787"/>
      <c r="K22" s="3787"/>
      <c r="L22" s="3787"/>
      <c r="M22" s="3787"/>
      <c r="N22" s="3787"/>
      <c r="O22" s="3787"/>
      <c r="P22" s="3787"/>
      <c r="Q22" s="3788"/>
      <c r="R22" s="484">
        <f>ROUND(S22*10000/B22,0)</f>
        <v>37395</v>
      </c>
      <c r="S22" s="53">
        <f>SUM(S24:S10000)</f>
        <v>63224</v>
      </c>
    </row>
    <row r="23" spans="1:45" s="1539" customFormat="1" ht="24">
      <c r="A23" s="17" t="s">
        <v>824</v>
      </c>
      <c r="B23" s="2858"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0" customFormat="1">
      <c r="A24" s="3385" t="s">
        <v>3437</v>
      </c>
      <c r="B24" s="948">
        <f>ROUND('数据-基础表'!M13/3,2)</f>
        <v>5635.65</v>
      </c>
      <c r="C24" s="3273">
        <v>1</v>
      </c>
      <c r="D24" s="3274"/>
      <c r="E24" s="3273">
        <v>1</v>
      </c>
      <c r="F24" s="3274"/>
      <c r="G24" s="3273">
        <v>1</v>
      </c>
      <c r="H24" s="3274"/>
      <c r="I24" s="3273">
        <v>1</v>
      </c>
      <c r="J24" s="3274"/>
      <c r="K24" s="3273">
        <v>1</v>
      </c>
      <c r="L24" s="3274"/>
      <c r="M24" s="3273">
        <v>1</v>
      </c>
      <c r="N24" s="3274"/>
      <c r="O24" s="3273">
        <v>1</v>
      </c>
      <c r="P24" s="3274" t="s">
        <v>3238</v>
      </c>
      <c r="Q24" s="3273">
        <v>1</v>
      </c>
      <c r="R24" s="951">
        <f>'不动产比较法-商业'!C48</f>
        <v>50994</v>
      </c>
      <c r="S24" s="949">
        <f t="shared" ref="S24:S54" si="11">ROUND(R24*B24/10000,0)</f>
        <v>28738</v>
      </c>
      <c r="T24" s="1884"/>
      <c r="U24" s="1884"/>
      <c r="V24" s="1884"/>
      <c r="W24" s="1884"/>
      <c r="X24" s="1884"/>
      <c r="Y24" s="1884"/>
      <c r="Z24" s="1884"/>
      <c r="AA24" s="1884"/>
      <c r="AB24" s="1884"/>
      <c r="AC24" s="1884"/>
      <c r="AD24" s="1884"/>
      <c r="AE24" s="1884"/>
      <c r="AF24" s="1884"/>
      <c r="AG24" s="1884"/>
      <c r="AH24" s="1884"/>
      <c r="AI24" s="1884"/>
    </row>
    <row r="25" spans="1:45">
      <c r="A25" s="3385" t="s">
        <v>3436</v>
      </c>
      <c r="B25" s="948">
        <f>ROUND('数据-基础表'!M13/3,2)</f>
        <v>5635.65</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t="s">
        <v>3240</v>
      </c>
      <c r="Q25" s="53">
        <f>(SUMIF($17:$17,P25,$18:$18)-SUMIF($17:$17,$P$24,$18:$18)+100)/100</f>
        <v>0.7</v>
      </c>
      <c r="R25" s="484">
        <f>IF(B25="",0,ROUND($R$24*C25*E25*G25*I25*K25*M25*O25*Q25,0))</f>
        <v>35696</v>
      </c>
      <c r="S25" s="789">
        <f t="shared" si="11"/>
        <v>20117</v>
      </c>
    </row>
    <row r="26" spans="1:45">
      <c r="A26" s="3385" t="s">
        <v>3438</v>
      </c>
      <c r="B26" s="136">
        <f>ROUND('数据-基础表'!M13/3,2)</f>
        <v>5635.65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t="s">
        <v>3242</v>
      </c>
      <c r="Q26" s="53">
        <f t="shared" ref="Q26:Q89" si="19">(SUMIF($17:$17,P26,$18:$18)-SUMIF($17:$17,$P$24,$18:$18)+100)/100</f>
        <v>0.5</v>
      </c>
      <c r="R26" s="484">
        <f t="shared" ref="R26:R89" si="20">IF(B26="",0,ROUND($R$24*C26*E26*G26*I26*K26*M26*O26*Q26,0))</f>
        <v>25497</v>
      </c>
      <c r="S26" s="789">
        <f t="shared" si="11"/>
        <v>14369</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0</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3"/>
      <c r="S525" s="255"/>
    </row>
    <row r="526" spans="1:19">
      <c r="A526" s="255"/>
      <c r="B526" s="57"/>
      <c r="C526" s="57"/>
      <c r="D526" s="57"/>
      <c r="E526" s="57"/>
      <c r="F526" s="57"/>
      <c r="G526" s="57"/>
      <c r="H526" s="57"/>
      <c r="I526" s="57"/>
      <c r="J526" s="57"/>
      <c r="K526" s="57"/>
      <c r="L526" s="57"/>
      <c r="M526" s="57"/>
      <c r="N526" s="57"/>
      <c r="O526" s="57"/>
      <c r="P526" s="57"/>
      <c r="Q526" s="57"/>
      <c r="R526" s="2103"/>
      <c r="S526" s="255"/>
    </row>
    <row r="527" spans="1:19">
      <c r="A527" s="255"/>
      <c r="B527" s="57"/>
      <c r="C527" s="57"/>
      <c r="D527" s="57"/>
      <c r="E527" s="57"/>
      <c r="F527" s="57"/>
      <c r="G527" s="57"/>
      <c r="H527" s="57"/>
      <c r="I527" s="57"/>
      <c r="J527" s="57"/>
      <c r="K527" s="57"/>
      <c r="L527" s="57"/>
      <c r="M527" s="57"/>
      <c r="N527" s="57"/>
      <c r="O527" s="57"/>
      <c r="P527" s="57"/>
      <c r="Q527" s="57"/>
      <c r="R527" s="2103"/>
      <c r="S527" s="255"/>
    </row>
    <row r="528" spans="1:19">
      <c r="A528" s="255"/>
      <c r="B528" s="57"/>
      <c r="C528" s="57"/>
      <c r="D528" s="57"/>
      <c r="E528" s="57"/>
      <c r="F528" s="57"/>
      <c r="G528" s="57"/>
      <c r="H528" s="57"/>
      <c r="I528" s="57"/>
      <c r="J528" s="57"/>
      <c r="K528" s="57"/>
      <c r="L528" s="57"/>
      <c r="M528" s="57"/>
      <c r="N528" s="57"/>
      <c r="O528" s="57"/>
      <c r="P528" s="57"/>
      <c r="Q528" s="57"/>
      <c r="R528" s="2103"/>
      <c r="S528" s="255"/>
    </row>
    <row r="529" spans="1:19">
      <c r="A529" s="255"/>
      <c r="B529" s="57"/>
      <c r="C529" s="57"/>
      <c r="D529" s="57"/>
      <c r="E529" s="57"/>
      <c r="F529" s="57"/>
      <c r="G529" s="57"/>
      <c r="H529" s="57"/>
      <c r="I529" s="57"/>
      <c r="J529" s="57"/>
      <c r="K529" s="57"/>
      <c r="L529" s="57"/>
      <c r="M529" s="57"/>
      <c r="N529" s="57"/>
      <c r="O529" s="57"/>
      <c r="P529" s="57"/>
      <c r="Q529" s="57"/>
      <c r="R529" s="2103"/>
      <c r="S529" s="255"/>
    </row>
    <row r="530" spans="1:19">
      <c r="A530" s="255"/>
      <c r="B530" s="57"/>
      <c r="C530" s="57"/>
      <c r="D530" s="57"/>
      <c r="E530" s="57"/>
      <c r="F530" s="57"/>
      <c r="G530" s="57"/>
      <c r="H530" s="57"/>
      <c r="I530" s="57"/>
      <c r="J530" s="57"/>
      <c r="K530" s="57"/>
      <c r="L530" s="57"/>
      <c r="M530" s="57"/>
      <c r="N530" s="57"/>
      <c r="O530" s="57"/>
      <c r="P530" s="57"/>
      <c r="Q530" s="57"/>
      <c r="R530" s="2103"/>
      <c r="S530" s="255"/>
    </row>
    <row r="531" spans="1:19">
      <c r="A531" s="255"/>
      <c r="B531" s="57"/>
      <c r="C531" s="57"/>
      <c r="D531" s="57"/>
      <c r="E531" s="57"/>
      <c r="F531" s="57"/>
      <c r="G531" s="57"/>
      <c r="H531" s="57"/>
      <c r="I531" s="57"/>
      <c r="J531" s="57"/>
      <c r="K531" s="57"/>
      <c r="L531" s="57"/>
      <c r="M531" s="57"/>
      <c r="N531" s="57"/>
      <c r="O531" s="57"/>
      <c r="P531" s="57"/>
      <c r="Q531" s="57"/>
      <c r="R531" s="2103"/>
      <c r="S531" s="255"/>
    </row>
    <row r="532" spans="1:19">
      <c r="A532" s="255"/>
      <c r="B532" s="57"/>
      <c r="C532" s="57"/>
      <c r="D532" s="57"/>
      <c r="E532" s="57"/>
      <c r="F532" s="57"/>
      <c r="G532" s="57"/>
      <c r="H532" s="57"/>
      <c r="I532" s="57"/>
      <c r="J532" s="57"/>
      <c r="K532" s="57"/>
      <c r="L532" s="57"/>
      <c r="M532" s="57"/>
      <c r="N532" s="57"/>
      <c r="O532" s="57"/>
      <c r="P532" s="57"/>
      <c r="Q532" s="57"/>
      <c r="R532" s="2103"/>
      <c r="S532" s="255"/>
    </row>
    <row r="533" spans="1:19">
      <c r="A533" s="255"/>
      <c r="B533" s="57"/>
      <c r="C533" s="57"/>
      <c r="D533" s="57"/>
      <c r="E533" s="57"/>
      <c r="F533" s="57"/>
      <c r="G533" s="57"/>
      <c r="H533" s="57"/>
      <c r="I533" s="57"/>
      <c r="J533" s="57"/>
      <c r="K533" s="57"/>
      <c r="L533" s="57"/>
      <c r="M533" s="57"/>
      <c r="N533" s="57"/>
      <c r="O533" s="57"/>
      <c r="P533" s="57"/>
      <c r="Q533" s="57"/>
      <c r="R533" s="2103"/>
      <c r="S533" s="255"/>
    </row>
    <row r="534" spans="1:19">
      <c r="A534" s="255"/>
      <c r="B534" s="57"/>
      <c r="C534" s="57"/>
      <c r="D534" s="57"/>
      <c r="E534" s="57"/>
      <c r="F534" s="57"/>
      <c r="G534" s="57"/>
      <c r="H534" s="57"/>
      <c r="I534" s="57"/>
      <c r="J534" s="57"/>
      <c r="K534" s="57"/>
      <c r="L534" s="57"/>
      <c r="M534" s="57"/>
      <c r="N534" s="57"/>
      <c r="O534" s="57"/>
      <c r="P534" s="57"/>
      <c r="Q534" s="57"/>
      <c r="R534" s="2103"/>
      <c r="S534" s="255"/>
    </row>
    <row r="535" spans="1:19">
      <c r="A535" s="255"/>
      <c r="B535" s="57"/>
      <c r="C535" s="57"/>
      <c r="D535" s="57"/>
      <c r="E535" s="57"/>
      <c r="F535" s="57"/>
      <c r="G535" s="57"/>
      <c r="H535" s="57"/>
      <c r="I535" s="57"/>
      <c r="J535" s="57"/>
      <c r="K535" s="57"/>
      <c r="L535" s="57"/>
      <c r="M535" s="57"/>
      <c r="N535" s="57"/>
      <c r="O535" s="57"/>
      <c r="P535" s="57"/>
      <c r="Q535" s="57"/>
      <c r="R535" s="2103"/>
      <c r="S535" s="255"/>
    </row>
    <row r="536" spans="1:19">
      <c r="A536" s="255"/>
      <c r="B536" s="57"/>
      <c r="C536" s="57"/>
      <c r="D536" s="57"/>
      <c r="E536" s="57"/>
      <c r="F536" s="57"/>
      <c r="G536" s="57"/>
      <c r="H536" s="57"/>
      <c r="I536" s="57"/>
      <c r="J536" s="57"/>
      <c r="K536" s="57"/>
      <c r="L536" s="57"/>
      <c r="M536" s="57"/>
      <c r="N536" s="57"/>
      <c r="O536" s="57"/>
      <c r="P536" s="57"/>
      <c r="Q536" s="57"/>
      <c r="R536" s="2103"/>
      <c r="S536" s="255"/>
    </row>
    <row r="537" spans="1:19">
      <c r="A537" s="255"/>
      <c r="B537" s="57"/>
      <c r="C537" s="57"/>
      <c r="D537" s="57"/>
      <c r="E537" s="57"/>
      <c r="F537" s="57"/>
      <c r="G537" s="57"/>
      <c r="H537" s="57"/>
      <c r="I537" s="57"/>
      <c r="J537" s="57"/>
      <c r="K537" s="57"/>
      <c r="L537" s="57"/>
      <c r="M537" s="57"/>
      <c r="N537" s="57"/>
      <c r="O537" s="57"/>
      <c r="P537" s="57"/>
      <c r="Q537" s="57"/>
      <c r="R537" s="2103"/>
      <c r="S537" s="255"/>
    </row>
    <row r="538" spans="1:19">
      <c r="A538" s="255"/>
      <c r="B538" s="57"/>
      <c r="C538" s="57"/>
      <c r="D538" s="57"/>
      <c r="E538" s="57"/>
      <c r="F538" s="57"/>
      <c r="G538" s="57"/>
      <c r="H538" s="57"/>
      <c r="I538" s="57"/>
      <c r="J538" s="57"/>
      <c r="K538" s="57"/>
      <c r="L538" s="57"/>
      <c r="M538" s="57"/>
      <c r="N538" s="57"/>
      <c r="O538" s="57"/>
      <c r="P538" s="57"/>
      <c r="Q538" s="57"/>
      <c r="R538" s="2103"/>
      <c r="S538" s="255"/>
    </row>
    <row r="539" spans="1:19">
      <c r="A539" s="255"/>
      <c r="B539" s="57"/>
      <c r="C539" s="57"/>
      <c r="D539" s="57"/>
      <c r="E539" s="57"/>
      <c r="F539" s="57"/>
      <c r="G539" s="57"/>
      <c r="H539" s="57"/>
      <c r="I539" s="57"/>
      <c r="J539" s="57"/>
      <c r="K539" s="57"/>
      <c r="L539" s="57"/>
      <c r="M539" s="57"/>
      <c r="N539" s="57"/>
      <c r="O539" s="57"/>
      <c r="P539" s="57"/>
      <c r="Q539" s="57"/>
      <c r="R539" s="2103"/>
      <c r="S539" s="255"/>
    </row>
    <row r="540" spans="1:19">
      <c r="A540" s="255"/>
      <c r="B540" s="57"/>
      <c r="C540" s="57"/>
      <c r="D540" s="57"/>
      <c r="E540" s="57"/>
      <c r="F540" s="57"/>
      <c r="G540" s="57"/>
      <c r="H540" s="57"/>
      <c r="I540" s="57"/>
      <c r="J540" s="57"/>
      <c r="K540" s="57"/>
      <c r="L540" s="57"/>
      <c r="M540" s="57"/>
      <c r="N540" s="57"/>
      <c r="O540" s="57"/>
      <c r="P540" s="57"/>
      <c r="Q540" s="57"/>
      <c r="R540" s="2103"/>
      <c r="S540" s="255"/>
    </row>
    <row r="541" spans="1:19">
      <c r="A541" s="255"/>
      <c r="B541" s="57"/>
      <c r="C541" s="57"/>
      <c r="D541" s="57"/>
      <c r="E541" s="57"/>
      <c r="F541" s="57"/>
      <c r="G541" s="57"/>
      <c r="H541" s="57"/>
      <c r="I541" s="57"/>
      <c r="J541" s="57"/>
      <c r="K541" s="57"/>
      <c r="L541" s="57"/>
      <c r="M541" s="57"/>
      <c r="N541" s="57"/>
      <c r="O541" s="57"/>
      <c r="P541" s="57"/>
      <c r="Q541" s="57"/>
      <c r="R541" s="2103"/>
      <c r="S541" s="255"/>
    </row>
    <row r="542" spans="1:19">
      <c r="A542" s="255"/>
      <c r="B542" s="57"/>
      <c r="C542" s="57"/>
      <c r="D542" s="57"/>
      <c r="E542" s="57"/>
      <c r="F542" s="57"/>
      <c r="G542" s="57"/>
      <c r="H542" s="57"/>
      <c r="I542" s="57"/>
      <c r="J542" s="57"/>
      <c r="K542" s="57"/>
      <c r="L542" s="57"/>
      <c r="M542" s="57"/>
      <c r="N542" s="57"/>
      <c r="O542" s="57"/>
      <c r="P542" s="57"/>
      <c r="Q542" s="57"/>
      <c r="R542" s="2103"/>
      <c r="S542" s="255"/>
    </row>
    <row r="543" spans="1:19">
      <c r="A543" s="255"/>
      <c r="B543" s="57"/>
      <c r="C543" s="57"/>
      <c r="D543" s="57"/>
      <c r="E543" s="57"/>
      <c r="F543" s="57"/>
      <c r="G543" s="57"/>
      <c r="H543" s="57"/>
      <c r="I543" s="57"/>
      <c r="J543" s="57"/>
      <c r="K543" s="57"/>
      <c r="L543" s="57"/>
      <c r="M543" s="57"/>
      <c r="N543" s="57"/>
      <c r="O543" s="57"/>
      <c r="P543" s="57"/>
      <c r="Q543" s="57"/>
      <c r="R543" s="2103"/>
      <c r="S543" s="255"/>
    </row>
    <row r="544" spans="1:19">
      <c r="A544" s="255"/>
      <c r="B544" s="57"/>
      <c r="C544" s="57"/>
      <c r="D544" s="57"/>
      <c r="E544" s="57"/>
      <c r="F544" s="57"/>
      <c r="G544" s="57"/>
      <c r="H544" s="57"/>
      <c r="I544" s="57"/>
      <c r="J544" s="57"/>
      <c r="K544" s="57"/>
      <c r="L544" s="57"/>
      <c r="M544" s="57"/>
      <c r="N544" s="57"/>
      <c r="O544" s="57"/>
      <c r="P544" s="57"/>
      <c r="Q544" s="57"/>
      <c r="R544" s="2103"/>
      <c r="S544" s="255"/>
    </row>
    <row r="545" spans="1:19">
      <c r="A545" s="255"/>
      <c r="B545" s="57"/>
      <c r="C545" s="57"/>
      <c r="D545" s="57"/>
      <c r="E545" s="57"/>
      <c r="F545" s="57"/>
      <c r="G545" s="57"/>
      <c r="H545" s="57"/>
      <c r="I545" s="57"/>
      <c r="J545" s="57"/>
      <c r="K545" s="57"/>
      <c r="L545" s="57"/>
      <c r="M545" s="57"/>
      <c r="N545" s="57"/>
      <c r="O545" s="57"/>
      <c r="P545" s="57"/>
      <c r="Q545" s="57"/>
      <c r="R545" s="2103"/>
      <c r="S545" s="255"/>
    </row>
    <row r="546" spans="1:19">
      <c r="A546" s="255"/>
      <c r="B546" s="57"/>
      <c r="C546" s="57"/>
      <c r="D546" s="57"/>
      <c r="E546" s="57"/>
      <c r="F546" s="57"/>
      <c r="G546" s="57"/>
      <c r="H546" s="57"/>
      <c r="I546" s="57"/>
      <c r="J546" s="57"/>
      <c r="K546" s="57"/>
      <c r="L546" s="57"/>
      <c r="M546" s="57"/>
      <c r="N546" s="57"/>
      <c r="O546" s="57"/>
      <c r="P546" s="57"/>
      <c r="Q546" s="57"/>
      <c r="R546" s="2103"/>
      <c r="S546" s="255"/>
    </row>
    <row r="547" spans="1:19">
      <c r="A547" s="255"/>
      <c r="B547" s="57"/>
      <c r="C547" s="57"/>
      <c r="D547" s="57"/>
      <c r="E547" s="57"/>
      <c r="F547" s="57"/>
      <c r="G547" s="57"/>
      <c r="H547" s="57"/>
      <c r="I547" s="57"/>
      <c r="J547" s="57"/>
      <c r="K547" s="57"/>
      <c r="L547" s="57"/>
      <c r="M547" s="57"/>
      <c r="N547" s="57"/>
      <c r="O547" s="57"/>
      <c r="P547" s="57"/>
      <c r="Q547" s="57"/>
      <c r="R547" s="2103"/>
      <c r="S547" s="255"/>
    </row>
    <row r="548" spans="1:19">
      <c r="A548" s="255"/>
      <c r="B548" s="57"/>
      <c r="C548" s="57"/>
      <c r="D548" s="57"/>
      <c r="E548" s="57"/>
      <c r="F548" s="57"/>
      <c r="G548" s="57"/>
      <c r="H548" s="57"/>
      <c r="I548" s="57"/>
      <c r="J548" s="57"/>
      <c r="K548" s="57"/>
      <c r="L548" s="57"/>
      <c r="M548" s="57"/>
      <c r="N548" s="57"/>
      <c r="O548" s="57"/>
      <c r="P548" s="57"/>
      <c r="Q548" s="57"/>
      <c r="R548" s="2103"/>
      <c r="S548" s="255"/>
    </row>
    <row r="549" spans="1:19">
      <c r="A549" s="255"/>
      <c r="B549" s="57"/>
      <c r="C549" s="57"/>
      <c r="D549" s="57"/>
      <c r="E549" s="57"/>
      <c r="F549" s="57"/>
      <c r="G549" s="57"/>
      <c r="H549" s="57"/>
      <c r="I549" s="57"/>
      <c r="J549" s="57"/>
      <c r="K549" s="57"/>
      <c r="L549" s="57"/>
      <c r="M549" s="57"/>
      <c r="N549" s="57"/>
      <c r="O549" s="57"/>
      <c r="P549" s="57"/>
      <c r="Q549" s="57"/>
      <c r="R549" s="2103"/>
      <c r="S549" s="255"/>
    </row>
    <row r="550" spans="1:19">
      <c r="A550" s="255"/>
      <c r="B550" s="57"/>
      <c r="C550" s="57"/>
      <c r="D550" s="57"/>
      <c r="E550" s="57"/>
      <c r="F550" s="57"/>
      <c r="G550" s="57"/>
      <c r="H550" s="57"/>
      <c r="I550" s="57"/>
      <c r="J550" s="57"/>
      <c r="K550" s="57"/>
      <c r="L550" s="57"/>
      <c r="M550" s="57"/>
      <c r="N550" s="57"/>
      <c r="O550" s="57"/>
      <c r="P550" s="57"/>
      <c r="Q550" s="57"/>
      <c r="R550" s="2103"/>
      <c r="S550" s="255"/>
    </row>
    <row r="551" spans="1:19">
      <c r="A551" s="255"/>
      <c r="B551" s="57"/>
      <c r="C551" s="57"/>
      <c r="D551" s="57"/>
      <c r="E551" s="57"/>
      <c r="F551" s="57"/>
      <c r="G551" s="57"/>
      <c r="H551" s="57"/>
      <c r="I551" s="57"/>
      <c r="J551" s="57"/>
      <c r="K551" s="57"/>
      <c r="L551" s="57"/>
      <c r="M551" s="57"/>
      <c r="N551" s="57"/>
      <c r="O551" s="57"/>
      <c r="P551" s="57"/>
      <c r="Q551" s="57"/>
      <c r="R551" s="2103"/>
      <c r="S551" s="255"/>
    </row>
    <row r="552" spans="1:19">
      <c r="A552" s="255"/>
      <c r="B552" s="57"/>
      <c r="C552" s="57"/>
      <c r="D552" s="57"/>
      <c r="E552" s="57"/>
      <c r="F552" s="57"/>
      <c r="G552" s="57"/>
      <c r="H552" s="57"/>
      <c r="I552" s="57"/>
      <c r="J552" s="57"/>
      <c r="K552" s="57"/>
      <c r="L552" s="57"/>
      <c r="M552" s="57"/>
      <c r="N552" s="57"/>
      <c r="O552" s="57"/>
      <c r="P552" s="57"/>
      <c r="Q552" s="57"/>
      <c r="R552" s="2103"/>
      <c r="S552" s="255"/>
    </row>
    <row r="553" spans="1:19">
      <c r="A553" s="255"/>
      <c r="B553" s="57"/>
      <c r="C553" s="57"/>
      <c r="D553" s="57"/>
      <c r="E553" s="57"/>
      <c r="F553" s="57"/>
      <c r="G553" s="57"/>
      <c r="H553" s="57"/>
      <c r="I553" s="57"/>
      <c r="J553" s="57"/>
      <c r="K553" s="57"/>
      <c r="L553" s="57"/>
      <c r="M553" s="57"/>
      <c r="N553" s="57"/>
      <c r="O553" s="57"/>
      <c r="P553" s="57"/>
      <c r="Q553" s="57"/>
      <c r="R553" s="2103"/>
      <c r="S553" s="255"/>
    </row>
    <row r="554" spans="1:19">
      <c r="A554" s="255"/>
      <c r="B554" s="57"/>
      <c r="C554" s="57"/>
      <c r="D554" s="57"/>
      <c r="E554" s="57"/>
      <c r="F554" s="57"/>
      <c r="G554" s="57"/>
      <c r="H554" s="57"/>
      <c r="I554" s="57"/>
      <c r="J554" s="57"/>
      <c r="K554" s="57"/>
      <c r="L554" s="57"/>
      <c r="M554" s="57"/>
      <c r="N554" s="57"/>
      <c r="O554" s="57"/>
      <c r="P554" s="57"/>
      <c r="Q554" s="57"/>
      <c r="R554" s="2103"/>
      <c r="S554" s="255"/>
    </row>
    <row r="555" spans="1:19">
      <c r="A555" s="255"/>
      <c r="B555" s="57"/>
      <c r="C555" s="57"/>
      <c r="D555" s="57"/>
      <c r="E555" s="57"/>
      <c r="F555" s="57"/>
      <c r="G555" s="57"/>
      <c r="H555" s="57"/>
      <c r="I555" s="57"/>
      <c r="J555" s="57"/>
      <c r="K555" s="57"/>
      <c r="L555" s="57"/>
      <c r="M555" s="57"/>
      <c r="N555" s="57"/>
      <c r="O555" s="57"/>
      <c r="P555" s="57"/>
      <c r="Q555" s="57"/>
      <c r="R555" s="2103"/>
      <c r="S555" s="255"/>
    </row>
    <row r="556" spans="1:19">
      <c r="A556" s="255"/>
      <c r="B556" s="57"/>
      <c r="C556" s="57"/>
      <c r="D556" s="57"/>
      <c r="E556" s="57"/>
      <c r="F556" s="57"/>
      <c r="G556" s="57"/>
      <c r="H556" s="57"/>
      <c r="I556" s="57"/>
      <c r="J556" s="57"/>
      <c r="K556" s="57"/>
      <c r="L556" s="57"/>
      <c r="M556" s="57"/>
      <c r="N556" s="57"/>
      <c r="O556" s="57"/>
      <c r="P556" s="57"/>
      <c r="Q556" s="57"/>
      <c r="R556" s="2103"/>
      <c r="S556" s="255"/>
    </row>
    <row r="557" spans="1:19">
      <c r="A557" s="255"/>
      <c r="B557" s="57"/>
      <c r="C557" s="57"/>
      <c r="D557" s="57"/>
      <c r="E557" s="57"/>
      <c r="F557" s="57"/>
      <c r="G557" s="57"/>
      <c r="H557" s="57"/>
      <c r="I557" s="57"/>
      <c r="J557" s="57"/>
      <c r="K557" s="57"/>
      <c r="L557" s="57"/>
      <c r="M557" s="57"/>
      <c r="N557" s="57"/>
      <c r="O557" s="57"/>
      <c r="P557" s="57"/>
      <c r="Q557" s="57"/>
      <c r="R557" s="2103"/>
      <c r="S557" s="255"/>
    </row>
    <row r="558" spans="1:19">
      <c r="A558" s="255"/>
      <c r="B558" s="57"/>
      <c r="C558" s="57"/>
      <c r="D558" s="57"/>
      <c r="E558" s="57"/>
      <c r="F558" s="57"/>
      <c r="G558" s="57"/>
      <c r="H558" s="57"/>
      <c r="I558" s="57"/>
      <c r="J558" s="57"/>
      <c r="K558" s="57"/>
      <c r="L558" s="57"/>
      <c r="M558" s="57"/>
      <c r="N558" s="57"/>
      <c r="O558" s="57"/>
      <c r="P558" s="57"/>
      <c r="Q558" s="57"/>
      <c r="R558" s="2103"/>
      <c r="S558" s="255"/>
    </row>
    <row r="559" spans="1:19">
      <c r="A559" s="255"/>
      <c r="B559" s="57"/>
      <c r="C559" s="57"/>
      <c r="D559" s="57"/>
      <c r="E559" s="57"/>
      <c r="F559" s="57"/>
      <c r="G559" s="57"/>
      <c r="H559" s="57"/>
      <c r="I559" s="57"/>
      <c r="J559" s="57"/>
      <c r="K559" s="57"/>
      <c r="L559" s="57"/>
      <c r="M559" s="57"/>
      <c r="N559" s="57"/>
      <c r="O559" s="57"/>
      <c r="P559" s="57"/>
      <c r="Q559" s="57"/>
      <c r="R559" s="2103"/>
      <c r="S559" s="255"/>
    </row>
    <row r="560" spans="1:19">
      <c r="A560" s="255"/>
      <c r="B560" s="57"/>
      <c r="C560" s="57"/>
      <c r="D560" s="57"/>
      <c r="E560" s="57"/>
      <c r="F560" s="57"/>
      <c r="G560" s="57"/>
      <c r="H560" s="57"/>
      <c r="I560" s="57"/>
      <c r="J560" s="57"/>
      <c r="K560" s="57"/>
      <c r="L560" s="57"/>
      <c r="M560" s="57"/>
      <c r="N560" s="57"/>
      <c r="O560" s="57"/>
      <c r="P560" s="57"/>
      <c r="Q560" s="57"/>
      <c r="R560" s="2103"/>
      <c r="S560" s="255"/>
    </row>
    <row r="561" spans="1:19">
      <c r="A561" s="255"/>
      <c r="B561" s="57"/>
      <c r="C561" s="57"/>
      <c r="D561" s="57"/>
      <c r="E561" s="57"/>
      <c r="F561" s="57"/>
      <c r="G561" s="57"/>
      <c r="H561" s="57"/>
      <c r="I561" s="57"/>
      <c r="J561" s="57"/>
      <c r="K561" s="57"/>
      <c r="L561" s="57"/>
      <c r="M561" s="57"/>
      <c r="N561" s="57"/>
      <c r="O561" s="57"/>
      <c r="P561" s="57"/>
      <c r="Q561" s="57"/>
      <c r="R561" s="2103"/>
      <c r="S561" s="255"/>
    </row>
    <row r="562" spans="1:19">
      <c r="A562" s="255"/>
      <c r="B562" s="57"/>
      <c r="C562" s="57"/>
      <c r="D562" s="57"/>
      <c r="E562" s="57"/>
      <c r="F562" s="57"/>
      <c r="G562" s="57"/>
      <c r="H562" s="57"/>
      <c r="I562" s="57"/>
      <c r="J562" s="57"/>
      <c r="K562" s="57"/>
      <c r="L562" s="57"/>
      <c r="M562" s="57"/>
      <c r="N562" s="57"/>
      <c r="O562" s="57"/>
      <c r="P562" s="57"/>
      <c r="Q562" s="57"/>
      <c r="R562" s="2103"/>
      <c r="S562" s="255"/>
    </row>
    <row r="563" spans="1:19">
      <c r="A563" s="255"/>
      <c r="B563" s="57"/>
      <c r="C563" s="57"/>
      <c r="D563" s="57"/>
      <c r="E563" s="57"/>
      <c r="F563" s="57"/>
      <c r="G563" s="57"/>
      <c r="H563" s="57"/>
      <c r="I563" s="57"/>
      <c r="J563" s="57"/>
      <c r="K563" s="57"/>
      <c r="L563" s="57"/>
      <c r="M563" s="57"/>
      <c r="N563" s="57"/>
      <c r="O563" s="57"/>
      <c r="P563" s="57"/>
      <c r="Q563" s="57"/>
      <c r="R563" s="2103"/>
      <c r="S563" s="255"/>
    </row>
    <row r="564" spans="1:19">
      <c r="A564" s="255"/>
      <c r="B564" s="57"/>
      <c r="C564" s="57"/>
      <c r="D564" s="57"/>
      <c r="E564" s="57"/>
      <c r="F564" s="57"/>
      <c r="G564" s="57"/>
      <c r="H564" s="57"/>
      <c r="I564" s="57"/>
      <c r="J564" s="57"/>
      <c r="K564" s="57"/>
      <c r="L564" s="57"/>
      <c r="M564" s="57"/>
      <c r="N564" s="57"/>
      <c r="O564" s="57"/>
      <c r="P564" s="57"/>
      <c r="Q564" s="57"/>
      <c r="R564" s="2103"/>
      <c r="S564" s="255"/>
    </row>
    <row r="565" spans="1:19">
      <c r="A565" s="255"/>
      <c r="B565" s="57"/>
      <c r="C565" s="57"/>
      <c r="D565" s="57"/>
      <c r="E565" s="57"/>
      <c r="F565" s="57"/>
      <c r="G565" s="57"/>
      <c r="H565" s="57"/>
      <c r="I565" s="57"/>
      <c r="J565" s="57"/>
      <c r="K565" s="57"/>
      <c r="L565" s="57"/>
      <c r="M565" s="57"/>
      <c r="N565" s="57"/>
      <c r="O565" s="57"/>
      <c r="P565" s="57"/>
      <c r="Q565" s="57"/>
      <c r="R565" s="2103"/>
      <c r="S565" s="255"/>
    </row>
    <row r="566" spans="1:19">
      <c r="A566" s="255"/>
      <c r="B566" s="57"/>
      <c r="C566" s="57"/>
      <c r="D566" s="57"/>
      <c r="E566" s="57"/>
      <c r="F566" s="57"/>
      <c r="G566" s="57"/>
      <c r="H566" s="57"/>
      <c r="I566" s="57"/>
      <c r="J566" s="57"/>
      <c r="K566" s="57"/>
      <c r="L566" s="57"/>
      <c r="M566" s="57"/>
      <c r="N566" s="57"/>
      <c r="O566" s="57"/>
      <c r="P566" s="57"/>
      <c r="Q566" s="57"/>
      <c r="R566" s="2103"/>
      <c r="S566" s="255"/>
    </row>
    <row r="567" spans="1:19">
      <c r="A567" s="255"/>
      <c r="B567" s="57"/>
      <c r="C567" s="57"/>
      <c r="D567" s="57"/>
      <c r="E567" s="57"/>
      <c r="F567" s="57"/>
      <c r="G567" s="57"/>
      <c r="H567" s="57"/>
      <c r="I567" s="57"/>
      <c r="J567" s="57"/>
      <c r="K567" s="57"/>
      <c r="L567" s="57"/>
      <c r="M567" s="57"/>
      <c r="N567" s="57"/>
      <c r="O567" s="57"/>
      <c r="P567" s="57"/>
      <c r="Q567" s="57"/>
      <c r="R567" s="2103"/>
      <c r="S567" s="255"/>
    </row>
    <row r="568" spans="1:19">
      <c r="A568" s="255"/>
      <c r="B568" s="57"/>
      <c r="C568" s="57"/>
      <c r="D568" s="57"/>
      <c r="E568" s="57"/>
      <c r="F568" s="57"/>
      <c r="G568" s="57"/>
      <c r="H568" s="57"/>
      <c r="I568" s="57"/>
      <c r="J568" s="57"/>
      <c r="K568" s="57"/>
      <c r="L568" s="57"/>
      <c r="M568" s="57"/>
      <c r="N568" s="57"/>
      <c r="O568" s="57"/>
      <c r="P568" s="57"/>
      <c r="Q568" s="57"/>
      <c r="R568" s="2103"/>
      <c r="S568" s="255"/>
    </row>
    <row r="569" spans="1:19">
      <c r="A569" s="255"/>
      <c r="B569" s="57"/>
      <c r="C569" s="57"/>
      <c r="D569" s="57"/>
      <c r="E569" s="57"/>
      <c r="F569" s="57"/>
      <c r="G569" s="57"/>
      <c r="H569" s="57"/>
      <c r="I569" s="57"/>
      <c r="J569" s="57"/>
      <c r="K569" s="57"/>
      <c r="L569" s="57"/>
      <c r="M569" s="57"/>
      <c r="N569" s="57"/>
      <c r="O569" s="57"/>
      <c r="P569" s="57"/>
      <c r="Q569" s="57"/>
      <c r="R569" s="2103"/>
      <c r="S569" s="255"/>
    </row>
    <row r="570" spans="1:19">
      <c r="A570" s="255"/>
      <c r="B570" s="57"/>
      <c r="C570" s="57"/>
      <c r="D570" s="57"/>
      <c r="E570" s="57"/>
      <c r="F570" s="57"/>
      <c r="G570" s="57"/>
      <c r="H570" s="57"/>
      <c r="I570" s="57"/>
      <c r="J570" s="57"/>
      <c r="K570" s="57"/>
      <c r="L570" s="57"/>
      <c r="M570" s="57"/>
      <c r="N570" s="57"/>
      <c r="O570" s="57"/>
      <c r="P570" s="57"/>
      <c r="Q570" s="57"/>
      <c r="R570" s="2103"/>
      <c r="S570" s="255"/>
    </row>
    <row r="571" spans="1:19">
      <c r="A571" s="255"/>
      <c r="B571" s="57"/>
      <c r="C571" s="57"/>
      <c r="D571" s="57"/>
      <c r="E571" s="57"/>
      <c r="F571" s="57"/>
      <c r="G571" s="57"/>
      <c r="H571" s="57"/>
      <c r="I571" s="57"/>
      <c r="J571" s="57"/>
      <c r="K571" s="57"/>
      <c r="L571" s="57"/>
      <c r="M571" s="57"/>
      <c r="N571" s="57"/>
      <c r="O571" s="57"/>
      <c r="P571" s="57"/>
      <c r="Q571" s="57"/>
      <c r="R571" s="2103"/>
      <c r="S571" s="255"/>
    </row>
    <row r="572" spans="1:19">
      <c r="A572" s="255"/>
      <c r="B572" s="57"/>
      <c r="C572" s="57"/>
      <c r="D572" s="57"/>
      <c r="E572" s="57"/>
      <c r="F572" s="57"/>
      <c r="G572" s="57"/>
      <c r="H572" s="57"/>
      <c r="I572" s="57"/>
      <c r="J572" s="57"/>
      <c r="K572" s="57"/>
      <c r="L572" s="57"/>
      <c r="M572" s="57"/>
      <c r="N572" s="57"/>
      <c r="O572" s="57"/>
      <c r="P572" s="57"/>
      <c r="Q572" s="57"/>
      <c r="R572" s="2103"/>
      <c r="S572" s="255"/>
    </row>
    <row r="573" spans="1:19">
      <c r="A573" s="255"/>
      <c r="B573" s="57"/>
      <c r="C573" s="57"/>
      <c r="D573" s="57"/>
      <c r="E573" s="57"/>
      <c r="F573" s="57"/>
      <c r="G573" s="57"/>
      <c r="H573" s="57"/>
      <c r="I573" s="57"/>
      <c r="J573" s="57"/>
      <c r="K573" s="57"/>
      <c r="L573" s="57"/>
      <c r="M573" s="57"/>
      <c r="N573" s="57"/>
      <c r="O573" s="57"/>
      <c r="P573" s="57"/>
      <c r="Q573" s="57"/>
      <c r="R573" s="2103"/>
      <c r="S573" s="255"/>
    </row>
    <row r="574" spans="1:19">
      <c r="A574" s="255"/>
      <c r="B574" s="57"/>
      <c r="C574" s="57"/>
      <c r="D574" s="57"/>
      <c r="E574" s="57"/>
      <c r="F574" s="57"/>
      <c r="G574" s="57"/>
      <c r="H574" s="57"/>
      <c r="I574" s="57"/>
      <c r="J574" s="57"/>
      <c r="K574" s="57"/>
      <c r="L574" s="57"/>
      <c r="M574" s="57"/>
      <c r="N574" s="57"/>
      <c r="O574" s="57"/>
      <c r="P574" s="57"/>
      <c r="Q574" s="57"/>
      <c r="R574" s="2103"/>
      <c r="S574" s="255"/>
    </row>
    <row r="575" spans="1:19">
      <c r="A575" s="255"/>
      <c r="B575" s="57"/>
      <c r="C575" s="57"/>
      <c r="D575" s="57"/>
      <c r="E575" s="57"/>
      <c r="F575" s="57"/>
      <c r="G575" s="57"/>
      <c r="H575" s="57"/>
      <c r="I575" s="57"/>
      <c r="J575" s="57"/>
      <c r="K575" s="57"/>
      <c r="L575" s="57"/>
      <c r="M575" s="57"/>
      <c r="N575" s="57"/>
      <c r="O575" s="57"/>
      <c r="P575" s="57"/>
      <c r="Q575" s="57"/>
      <c r="R575" s="2103"/>
      <c r="S575" s="255"/>
    </row>
    <row r="576" spans="1:19">
      <c r="A576" s="255"/>
      <c r="B576" s="57"/>
      <c r="C576" s="57"/>
      <c r="D576" s="57"/>
      <c r="E576" s="57"/>
      <c r="F576" s="57"/>
      <c r="G576" s="57"/>
      <c r="H576" s="57"/>
      <c r="I576" s="57"/>
      <c r="J576" s="57"/>
      <c r="K576" s="57"/>
      <c r="L576" s="57"/>
      <c r="M576" s="57"/>
      <c r="N576" s="57"/>
      <c r="O576" s="57"/>
      <c r="P576" s="57"/>
      <c r="Q576" s="57"/>
      <c r="R576" s="2103"/>
      <c r="S576" s="255"/>
    </row>
    <row r="577" spans="1:19">
      <c r="A577" s="255"/>
      <c r="B577" s="57"/>
      <c r="C577" s="57"/>
      <c r="D577" s="57"/>
      <c r="E577" s="57"/>
      <c r="F577" s="57"/>
      <c r="G577" s="57"/>
      <c r="H577" s="57"/>
      <c r="I577" s="57"/>
      <c r="J577" s="57"/>
      <c r="K577" s="57"/>
      <c r="L577" s="57"/>
      <c r="M577" s="57"/>
      <c r="N577" s="57"/>
      <c r="O577" s="57"/>
      <c r="P577" s="57"/>
      <c r="Q577" s="57"/>
      <c r="R577" s="2103"/>
      <c r="S577" s="255"/>
    </row>
    <row r="578" spans="1:19">
      <c r="A578" s="255"/>
      <c r="B578" s="57"/>
      <c r="C578" s="57"/>
      <c r="D578" s="57"/>
      <c r="E578" s="57"/>
      <c r="F578" s="57"/>
      <c r="G578" s="57"/>
      <c r="H578" s="57"/>
      <c r="I578" s="57"/>
      <c r="J578" s="57"/>
      <c r="K578" s="57"/>
      <c r="L578" s="57"/>
      <c r="M578" s="57"/>
      <c r="N578" s="57"/>
      <c r="O578" s="57"/>
      <c r="P578" s="57"/>
      <c r="Q578" s="57"/>
      <c r="R578" s="2103"/>
      <c r="S578" s="255"/>
    </row>
    <row r="579" spans="1:19">
      <c r="A579" s="255"/>
      <c r="B579" s="57"/>
      <c r="C579" s="57"/>
      <c r="D579" s="57"/>
      <c r="E579" s="57"/>
      <c r="F579" s="57"/>
      <c r="G579" s="57"/>
      <c r="H579" s="57"/>
      <c r="I579" s="57"/>
      <c r="J579" s="57"/>
      <c r="K579" s="57"/>
      <c r="L579" s="57"/>
      <c r="M579" s="57"/>
      <c r="N579" s="57"/>
      <c r="O579" s="57"/>
      <c r="P579" s="57"/>
      <c r="Q579" s="57"/>
      <c r="R579" s="2103"/>
      <c r="S579" s="255"/>
    </row>
    <row r="580" spans="1:19">
      <c r="A580" s="255"/>
      <c r="B580" s="57"/>
      <c r="C580" s="57"/>
      <c r="D580" s="57"/>
      <c r="E580" s="57"/>
      <c r="F580" s="57"/>
      <c r="G580" s="57"/>
      <c r="H580" s="57"/>
      <c r="I580" s="57"/>
      <c r="J580" s="57"/>
      <c r="K580" s="57"/>
      <c r="L580" s="57"/>
      <c r="M580" s="57"/>
      <c r="N580" s="57"/>
      <c r="O580" s="57"/>
      <c r="P580" s="57"/>
      <c r="Q580" s="57"/>
      <c r="R580" s="2103"/>
      <c r="S580" s="255"/>
    </row>
    <row r="581" spans="1:19">
      <c r="A581" s="255"/>
      <c r="B581" s="57"/>
      <c r="C581" s="57"/>
      <c r="D581" s="57"/>
      <c r="E581" s="57"/>
      <c r="F581" s="57"/>
      <c r="G581" s="57"/>
      <c r="H581" s="57"/>
      <c r="I581" s="57"/>
      <c r="J581" s="57"/>
      <c r="K581" s="57"/>
      <c r="L581" s="57"/>
      <c r="M581" s="57"/>
      <c r="N581" s="57"/>
      <c r="O581" s="57"/>
      <c r="P581" s="57"/>
      <c r="Q581" s="57"/>
      <c r="R581" s="2103"/>
      <c r="S581" s="255"/>
    </row>
    <row r="582" spans="1:19">
      <c r="A582" s="255"/>
      <c r="B582" s="57"/>
      <c r="C582" s="57"/>
      <c r="D582" s="57"/>
      <c r="E582" s="57"/>
      <c r="F582" s="57"/>
      <c r="G582" s="57"/>
      <c r="H582" s="57"/>
      <c r="I582" s="57"/>
      <c r="J582" s="57"/>
      <c r="K582" s="57"/>
      <c r="L582" s="57"/>
      <c r="M582" s="57"/>
      <c r="N582" s="57"/>
      <c r="O582" s="57"/>
      <c r="P582" s="57"/>
      <c r="Q582" s="57"/>
      <c r="R582" s="2103"/>
      <c r="S582" s="255"/>
    </row>
    <row r="583" spans="1:19">
      <c r="A583" s="255"/>
      <c r="B583" s="57"/>
      <c r="C583" s="57"/>
      <c r="D583" s="57"/>
      <c r="E583" s="57"/>
      <c r="F583" s="57"/>
      <c r="G583" s="57"/>
      <c r="H583" s="57"/>
      <c r="I583" s="57"/>
      <c r="J583" s="57"/>
      <c r="K583" s="57"/>
      <c r="L583" s="57"/>
      <c r="M583" s="57"/>
      <c r="N583" s="57"/>
      <c r="O583" s="57"/>
      <c r="P583" s="57"/>
      <c r="Q583" s="57"/>
      <c r="R583" s="2103"/>
      <c r="S583" s="255"/>
    </row>
    <row r="584" spans="1:19">
      <c r="A584" s="255"/>
      <c r="B584" s="57"/>
      <c r="C584" s="57"/>
      <c r="D584" s="57"/>
      <c r="E584" s="57"/>
      <c r="F584" s="57"/>
      <c r="G584" s="57"/>
      <c r="H584" s="57"/>
      <c r="I584" s="57"/>
      <c r="J584" s="57"/>
      <c r="K584" s="57"/>
      <c r="L584" s="57"/>
      <c r="M584" s="57"/>
      <c r="N584" s="57"/>
      <c r="O584" s="57"/>
      <c r="P584" s="57"/>
      <c r="Q584" s="57"/>
      <c r="R584" s="2103"/>
      <c r="S584" s="255"/>
    </row>
    <row r="585" spans="1:19">
      <c r="A585" s="255"/>
      <c r="B585" s="57"/>
      <c r="C585" s="57"/>
      <c r="D585" s="57"/>
      <c r="E585" s="57"/>
      <c r="F585" s="57"/>
      <c r="G585" s="57"/>
      <c r="H585" s="57"/>
      <c r="I585" s="57"/>
      <c r="J585" s="57"/>
      <c r="K585" s="57"/>
      <c r="L585" s="57"/>
      <c r="M585" s="57"/>
      <c r="N585" s="57"/>
      <c r="O585" s="57"/>
      <c r="P585" s="57"/>
      <c r="Q585" s="57"/>
      <c r="R585" s="2103"/>
      <c r="S585" s="255"/>
    </row>
    <row r="586" spans="1:19">
      <c r="A586" s="255"/>
      <c r="B586" s="57"/>
      <c r="C586" s="57"/>
      <c r="D586" s="57"/>
      <c r="E586" s="57"/>
      <c r="F586" s="57"/>
      <c r="G586" s="57"/>
      <c r="H586" s="57"/>
      <c r="I586" s="57"/>
      <c r="J586" s="57"/>
      <c r="K586" s="57"/>
      <c r="L586" s="57"/>
      <c r="M586" s="57"/>
      <c r="N586" s="57"/>
      <c r="O586" s="57"/>
      <c r="P586" s="57"/>
      <c r="Q586" s="57"/>
      <c r="R586" s="2103"/>
      <c r="S586" s="255"/>
    </row>
    <row r="587" spans="1:19">
      <c r="A587" s="255"/>
      <c r="B587" s="57"/>
      <c r="C587" s="57"/>
      <c r="D587" s="57"/>
      <c r="E587" s="57"/>
      <c r="F587" s="57"/>
      <c r="G587" s="57"/>
      <c r="H587" s="57"/>
      <c r="I587" s="57"/>
      <c r="J587" s="57"/>
      <c r="K587" s="57"/>
      <c r="L587" s="57"/>
      <c r="M587" s="57"/>
      <c r="N587" s="57"/>
      <c r="O587" s="57"/>
      <c r="P587" s="57"/>
      <c r="Q587" s="57"/>
      <c r="R587" s="2103"/>
      <c r="S587" s="255"/>
    </row>
    <row r="588" spans="1:19">
      <c r="A588" s="255"/>
      <c r="B588" s="57"/>
      <c r="C588" s="57"/>
      <c r="D588" s="57"/>
      <c r="E588" s="57"/>
      <c r="F588" s="57"/>
      <c r="G588" s="57"/>
      <c r="H588" s="57"/>
      <c r="I588" s="57"/>
      <c r="J588" s="57"/>
      <c r="K588" s="57"/>
      <c r="L588" s="57"/>
      <c r="M588" s="57"/>
      <c r="N588" s="57"/>
      <c r="O588" s="57"/>
      <c r="P588" s="57"/>
      <c r="Q588" s="57"/>
      <c r="R588" s="2103"/>
      <c r="S588" s="255"/>
    </row>
    <row r="589" spans="1:19">
      <c r="A589" s="255"/>
      <c r="B589" s="57"/>
      <c r="C589" s="57"/>
      <c r="D589" s="57"/>
      <c r="E589" s="57"/>
      <c r="F589" s="57"/>
      <c r="G589" s="57"/>
      <c r="H589" s="57"/>
      <c r="I589" s="57"/>
      <c r="J589" s="57"/>
      <c r="K589" s="57"/>
      <c r="L589" s="57"/>
      <c r="M589" s="57"/>
      <c r="N589" s="57"/>
      <c r="O589" s="57"/>
      <c r="P589" s="57"/>
      <c r="Q589" s="57"/>
      <c r="R589" s="2103"/>
      <c r="S589" s="255"/>
    </row>
    <row r="590" spans="1:19">
      <c r="A590" s="255"/>
      <c r="B590" s="57"/>
      <c r="C590" s="57"/>
      <c r="D590" s="57"/>
      <c r="E590" s="57"/>
      <c r="F590" s="57"/>
      <c r="G590" s="57"/>
      <c r="H590" s="57"/>
      <c r="I590" s="57"/>
      <c r="J590" s="57"/>
      <c r="K590" s="57"/>
      <c r="L590" s="57"/>
      <c r="M590" s="57"/>
      <c r="N590" s="57"/>
      <c r="O590" s="57"/>
      <c r="P590" s="57"/>
      <c r="Q590" s="57"/>
      <c r="R590" s="2103"/>
      <c r="S590" s="255"/>
    </row>
    <row r="591" spans="1:19">
      <c r="A591" s="255"/>
      <c r="B591" s="57"/>
      <c r="C591" s="57"/>
      <c r="D591" s="57"/>
      <c r="E591" s="57"/>
      <c r="F591" s="57"/>
      <c r="G591" s="57"/>
      <c r="H591" s="57"/>
      <c r="I591" s="57"/>
      <c r="J591" s="57"/>
      <c r="K591" s="57"/>
      <c r="L591" s="57"/>
      <c r="M591" s="57"/>
      <c r="N591" s="57"/>
      <c r="O591" s="57"/>
      <c r="P591" s="57"/>
      <c r="Q591" s="57"/>
      <c r="R591" s="2103"/>
      <c r="S591" s="255"/>
    </row>
    <row r="592" spans="1:19">
      <c r="A592" s="255"/>
      <c r="B592" s="57"/>
      <c r="C592" s="57"/>
      <c r="D592" s="57"/>
      <c r="E592" s="57"/>
      <c r="F592" s="57"/>
      <c r="G592" s="57"/>
      <c r="H592" s="57"/>
      <c r="I592" s="57"/>
      <c r="J592" s="57"/>
      <c r="K592" s="57"/>
      <c r="L592" s="57"/>
      <c r="M592" s="57"/>
      <c r="N592" s="57"/>
      <c r="O592" s="57"/>
      <c r="P592" s="57"/>
      <c r="Q592" s="57"/>
      <c r="R592" s="2103"/>
      <c r="S592" s="255"/>
    </row>
    <row r="593" spans="1:19">
      <c r="A593" s="255"/>
      <c r="B593" s="57"/>
      <c r="C593" s="57"/>
      <c r="D593" s="57"/>
      <c r="E593" s="57"/>
      <c r="F593" s="57"/>
      <c r="G593" s="57"/>
      <c r="H593" s="57"/>
      <c r="I593" s="57"/>
      <c r="J593" s="57"/>
      <c r="K593" s="57"/>
      <c r="L593" s="57"/>
      <c r="M593" s="57"/>
      <c r="N593" s="57"/>
      <c r="O593" s="57"/>
      <c r="P593" s="57"/>
      <c r="Q593" s="57"/>
      <c r="R593" s="2103"/>
      <c r="S593" s="255"/>
    </row>
    <row r="594" spans="1:19">
      <c r="A594" s="255"/>
      <c r="B594" s="57"/>
      <c r="C594" s="57"/>
      <c r="D594" s="57"/>
      <c r="E594" s="57"/>
      <c r="F594" s="57"/>
      <c r="G594" s="57"/>
      <c r="H594" s="57"/>
      <c r="I594" s="57"/>
      <c r="J594" s="57"/>
      <c r="K594" s="57"/>
      <c r="L594" s="57"/>
      <c r="M594" s="57"/>
      <c r="N594" s="57"/>
      <c r="O594" s="57"/>
      <c r="P594" s="57"/>
      <c r="Q594" s="57"/>
      <c r="R594" s="2103"/>
      <c r="S594" s="255"/>
    </row>
    <row r="595" spans="1:19">
      <c r="A595" s="255"/>
      <c r="B595" s="57"/>
      <c r="C595" s="57"/>
      <c r="D595" s="57"/>
      <c r="E595" s="57"/>
      <c r="F595" s="57"/>
      <c r="G595" s="57"/>
      <c r="H595" s="57"/>
      <c r="I595" s="57"/>
      <c r="J595" s="57"/>
      <c r="K595" s="57"/>
      <c r="L595" s="57"/>
      <c r="M595" s="57"/>
      <c r="N595" s="57"/>
      <c r="O595" s="57"/>
      <c r="P595" s="57"/>
      <c r="Q595" s="57"/>
      <c r="R595" s="2103"/>
      <c r="S595" s="255"/>
    </row>
    <row r="596" spans="1:19">
      <c r="A596" s="255"/>
      <c r="B596" s="57"/>
      <c r="C596" s="57"/>
      <c r="D596" s="57"/>
      <c r="E596" s="57"/>
      <c r="F596" s="57"/>
      <c r="G596" s="57"/>
      <c r="H596" s="57"/>
      <c r="I596" s="57"/>
      <c r="J596" s="57"/>
      <c r="K596" s="57"/>
      <c r="L596" s="57"/>
      <c r="M596" s="57"/>
      <c r="N596" s="57"/>
      <c r="O596" s="57"/>
      <c r="P596" s="57"/>
      <c r="Q596" s="57"/>
      <c r="R596" s="2103"/>
      <c r="S596" s="255"/>
    </row>
    <row r="597" spans="1:19">
      <c r="A597" s="255"/>
      <c r="B597" s="57"/>
      <c r="C597" s="57"/>
      <c r="D597" s="57"/>
      <c r="E597" s="57"/>
      <c r="F597" s="57"/>
      <c r="G597" s="57"/>
      <c r="H597" s="57"/>
      <c r="I597" s="57"/>
      <c r="J597" s="57"/>
      <c r="K597" s="57"/>
      <c r="L597" s="57"/>
      <c r="M597" s="57"/>
      <c r="N597" s="57"/>
      <c r="O597" s="57"/>
      <c r="P597" s="57"/>
      <c r="Q597" s="57"/>
      <c r="R597" s="2103"/>
      <c r="S597" s="255"/>
    </row>
    <row r="598" spans="1:19">
      <c r="A598" s="255"/>
      <c r="B598" s="57"/>
      <c r="C598" s="57"/>
      <c r="D598" s="57"/>
      <c r="E598" s="57"/>
      <c r="F598" s="57"/>
      <c r="G598" s="57"/>
      <c r="H598" s="57"/>
      <c r="I598" s="57"/>
      <c r="J598" s="57"/>
      <c r="K598" s="57"/>
      <c r="L598" s="57"/>
      <c r="M598" s="57"/>
      <c r="N598" s="57"/>
      <c r="O598" s="57"/>
      <c r="P598" s="57"/>
      <c r="Q598" s="57"/>
      <c r="R598" s="2103"/>
      <c r="S598" s="255"/>
    </row>
    <row r="599" spans="1:19">
      <c r="A599" s="255"/>
      <c r="B599" s="57"/>
      <c r="C599" s="57"/>
      <c r="D599" s="57"/>
      <c r="E599" s="57"/>
      <c r="F599" s="57"/>
      <c r="G599" s="57"/>
      <c r="H599" s="57"/>
      <c r="I599" s="57"/>
      <c r="J599" s="57"/>
      <c r="K599" s="57"/>
      <c r="L599" s="57"/>
      <c r="M599" s="57"/>
      <c r="N599" s="57"/>
      <c r="O599" s="57"/>
      <c r="P599" s="57"/>
      <c r="Q599" s="57"/>
      <c r="R599" s="2103"/>
      <c r="S599" s="255"/>
    </row>
    <row r="600" spans="1:19">
      <c r="A600" s="255"/>
      <c r="B600" s="57"/>
      <c r="C600" s="57"/>
      <c r="D600" s="57"/>
      <c r="E600" s="57"/>
      <c r="F600" s="57"/>
      <c r="G600" s="57"/>
      <c r="H600" s="57"/>
      <c r="I600" s="57"/>
      <c r="J600" s="57"/>
      <c r="K600" s="57"/>
      <c r="L600" s="57"/>
      <c r="M600" s="57"/>
      <c r="N600" s="57"/>
      <c r="O600" s="57"/>
      <c r="P600" s="57"/>
      <c r="Q600" s="57"/>
      <c r="R600" s="2103"/>
      <c r="S600" s="255"/>
    </row>
    <row r="601" spans="1:19">
      <c r="A601" s="255"/>
      <c r="B601" s="57"/>
      <c r="C601" s="57"/>
      <c r="D601" s="57"/>
      <c r="E601" s="57"/>
      <c r="F601" s="57"/>
      <c r="G601" s="57"/>
      <c r="H601" s="57"/>
      <c r="I601" s="57"/>
      <c r="J601" s="57"/>
      <c r="K601" s="57"/>
      <c r="L601" s="57"/>
      <c r="M601" s="57"/>
      <c r="N601" s="57"/>
      <c r="O601" s="57"/>
      <c r="P601" s="57"/>
      <c r="Q601" s="57"/>
      <c r="R601" s="2103"/>
      <c r="S601" s="255"/>
    </row>
    <row r="602" spans="1:19">
      <c r="A602" s="255"/>
      <c r="B602" s="57"/>
      <c r="C602" s="57"/>
      <c r="D602" s="57"/>
      <c r="E602" s="57"/>
      <c r="F602" s="57"/>
      <c r="G602" s="57"/>
      <c r="H602" s="57"/>
      <c r="I602" s="57"/>
      <c r="J602" s="57"/>
      <c r="K602" s="57"/>
      <c r="L602" s="57"/>
      <c r="M602" s="57"/>
      <c r="N602" s="57"/>
      <c r="O602" s="57"/>
      <c r="P602" s="57"/>
      <c r="Q602" s="57"/>
      <c r="R602" s="2103"/>
      <c r="S602" s="255"/>
    </row>
    <row r="603" spans="1:19">
      <c r="A603" s="255"/>
      <c r="B603" s="57"/>
      <c r="C603" s="57"/>
      <c r="D603" s="57"/>
      <c r="E603" s="57"/>
      <c r="F603" s="57"/>
      <c r="G603" s="57"/>
      <c r="H603" s="57"/>
      <c r="I603" s="57"/>
      <c r="J603" s="57"/>
      <c r="K603" s="57"/>
      <c r="L603" s="57"/>
      <c r="M603" s="57"/>
      <c r="N603" s="57"/>
      <c r="O603" s="57"/>
      <c r="P603" s="57"/>
      <c r="Q603" s="57"/>
      <c r="R603" s="2103"/>
      <c r="S603" s="255"/>
    </row>
    <row r="604" spans="1:19">
      <c r="A604" s="255"/>
      <c r="B604" s="57"/>
      <c r="C604" s="57"/>
      <c r="D604" s="57"/>
      <c r="E604" s="57"/>
      <c r="F604" s="57"/>
      <c r="G604" s="57"/>
      <c r="H604" s="57"/>
      <c r="I604" s="57"/>
      <c r="J604" s="57"/>
      <c r="K604" s="57"/>
      <c r="L604" s="57"/>
      <c r="M604" s="57"/>
      <c r="N604" s="57"/>
      <c r="O604" s="57"/>
      <c r="P604" s="57"/>
      <c r="Q604" s="57"/>
      <c r="R604" s="2103"/>
      <c r="S604" s="255"/>
    </row>
    <row r="605" spans="1:19">
      <c r="A605" s="255"/>
      <c r="B605" s="57"/>
      <c r="C605" s="57"/>
      <c r="D605" s="57"/>
      <c r="E605" s="57"/>
      <c r="F605" s="57"/>
      <c r="G605" s="57"/>
      <c r="H605" s="57"/>
      <c r="I605" s="57"/>
      <c r="J605" s="57"/>
      <c r="K605" s="57"/>
      <c r="L605" s="57"/>
      <c r="M605" s="57"/>
      <c r="N605" s="57"/>
      <c r="O605" s="57"/>
      <c r="P605" s="57"/>
      <c r="Q605" s="57"/>
      <c r="R605" s="2103"/>
      <c r="S605" s="255"/>
    </row>
    <row r="606" spans="1:19">
      <c r="A606" s="255"/>
      <c r="B606" s="57"/>
      <c r="C606" s="57"/>
      <c r="D606" s="57"/>
      <c r="E606" s="57"/>
      <c r="F606" s="57"/>
      <c r="G606" s="57"/>
      <c r="H606" s="57"/>
      <c r="I606" s="57"/>
      <c r="J606" s="57"/>
      <c r="K606" s="57"/>
      <c r="L606" s="57"/>
      <c r="M606" s="57"/>
      <c r="N606" s="57"/>
      <c r="O606" s="57"/>
      <c r="P606" s="57"/>
      <c r="Q606" s="57"/>
      <c r="R606" s="2103"/>
      <c r="S606" s="255"/>
    </row>
    <row r="607" spans="1:19">
      <c r="A607" s="255"/>
      <c r="B607" s="57"/>
      <c r="C607" s="57"/>
      <c r="D607" s="57"/>
      <c r="E607" s="57"/>
      <c r="F607" s="57"/>
      <c r="G607" s="57"/>
      <c r="H607" s="57"/>
      <c r="I607" s="57"/>
      <c r="J607" s="57"/>
      <c r="K607" s="57"/>
      <c r="L607" s="57"/>
      <c r="M607" s="57"/>
      <c r="N607" s="57"/>
      <c r="O607" s="57"/>
      <c r="P607" s="57"/>
      <c r="Q607" s="57"/>
      <c r="R607" s="2103"/>
      <c r="S607" s="255"/>
    </row>
    <row r="608" spans="1:19">
      <c r="A608" s="255"/>
      <c r="B608" s="57"/>
      <c r="C608" s="57"/>
      <c r="D608" s="57"/>
      <c r="E608" s="57"/>
      <c r="F608" s="57"/>
      <c r="G608" s="57"/>
      <c r="H608" s="57"/>
      <c r="I608" s="57"/>
      <c r="J608" s="57"/>
      <c r="K608" s="57"/>
      <c r="L608" s="57"/>
      <c r="M608" s="57"/>
      <c r="N608" s="57"/>
      <c r="O608" s="57"/>
      <c r="P608" s="57"/>
      <c r="Q608" s="57"/>
      <c r="R608" s="2103"/>
      <c r="S608" s="255"/>
    </row>
    <row r="609" spans="1:19">
      <c r="A609" s="255"/>
      <c r="B609" s="57"/>
      <c r="C609" s="57"/>
      <c r="D609" s="57"/>
      <c r="E609" s="57"/>
      <c r="F609" s="57"/>
      <c r="G609" s="57"/>
      <c r="H609" s="57"/>
      <c r="I609" s="57"/>
      <c r="J609" s="57"/>
      <c r="K609" s="57"/>
      <c r="L609" s="57"/>
      <c r="M609" s="57"/>
      <c r="N609" s="57"/>
      <c r="O609" s="57"/>
      <c r="P609" s="57"/>
      <c r="Q609" s="57"/>
      <c r="R609" s="2103"/>
      <c r="S609" s="255"/>
    </row>
    <row r="610" spans="1:19">
      <c r="A610" s="255"/>
      <c r="B610" s="57"/>
      <c r="C610" s="57"/>
      <c r="D610" s="57"/>
      <c r="E610" s="57"/>
      <c r="F610" s="57"/>
      <c r="G610" s="57"/>
      <c r="H610" s="57"/>
      <c r="I610" s="57"/>
      <c r="J610" s="57"/>
      <c r="K610" s="57"/>
      <c r="L610" s="57"/>
      <c r="M610" s="57"/>
      <c r="N610" s="57"/>
      <c r="O610" s="57"/>
      <c r="P610" s="57"/>
      <c r="Q610" s="57"/>
      <c r="R610" s="2103"/>
      <c r="S610" s="255"/>
    </row>
    <row r="611" spans="1:19">
      <c r="A611" s="255"/>
      <c r="B611" s="57"/>
      <c r="C611" s="57"/>
      <c r="D611" s="57"/>
      <c r="E611" s="57"/>
      <c r="F611" s="57"/>
      <c r="G611" s="57"/>
      <c r="H611" s="57"/>
      <c r="I611" s="57"/>
      <c r="J611" s="57"/>
      <c r="K611" s="57"/>
      <c r="L611" s="57"/>
      <c r="M611" s="57"/>
      <c r="N611" s="57"/>
      <c r="O611" s="57"/>
      <c r="P611" s="57"/>
      <c r="Q611" s="57"/>
      <c r="R611" s="2103"/>
      <c r="S611" s="255"/>
    </row>
    <row r="612" spans="1:19">
      <c r="A612" s="255"/>
      <c r="B612" s="57"/>
      <c r="C612" s="57"/>
      <c r="D612" s="57"/>
      <c r="E612" s="57"/>
      <c r="F612" s="57"/>
      <c r="G612" s="57"/>
      <c r="H612" s="57"/>
      <c r="I612" s="57"/>
      <c r="J612" s="57"/>
      <c r="K612" s="57"/>
      <c r="L612" s="57"/>
      <c r="M612" s="57"/>
      <c r="N612" s="57"/>
      <c r="O612" s="57"/>
      <c r="P612" s="57"/>
      <c r="Q612" s="57"/>
      <c r="R612" s="2103"/>
      <c r="S612" s="255"/>
    </row>
    <row r="613" spans="1:19">
      <c r="A613" s="255"/>
      <c r="B613" s="57"/>
      <c r="C613" s="57"/>
      <c r="D613" s="57"/>
      <c r="E613" s="57"/>
      <c r="F613" s="57"/>
      <c r="G613" s="57"/>
      <c r="H613" s="57"/>
      <c r="I613" s="57"/>
      <c r="J613" s="57"/>
      <c r="K613" s="57"/>
      <c r="L613" s="57"/>
      <c r="M613" s="57"/>
      <c r="N613" s="57"/>
      <c r="O613" s="57"/>
      <c r="P613" s="57"/>
      <c r="Q613" s="57"/>
      <c r="R613" s="2103"/>
      <c r="S613" s="255"/>
    </row>
    <row r="614" spans="1:19">
      <c r="A614" s="255"/>
      <c r="B614" s="57"/>
      <c r="C614" s="57"/>
      <c r="D614" s="57"/>
      <c r="E614" s="57"/>
      <c r="F614" s="57"/>
      <c r="G614" s="57"/>
      <c r="H614" s="57"/>
      <c r="I614" s="57"/>
      <c r="J614" s="57"/>
      <c r="K614" s="57"/>
      <c r="L614" s="57"/>
      <c r="M614" s="57"/>
      <c r="N614" s="57"/>
      <c r="O614" s="57"/>
      <c r="P614" s="57"/>
      <c r="Q614" s="57"/>
      <c r="R614" s="2103"/>
      <c r="S614" s="255"/>
    </row>
    <row r="615" spans="1:19">
      <c r="A615" s="255"/>
      <c r="B615" s="57"/>
      <c r="C615" s="57"/>
      <c r="D615" s="57"/>
      <c r="E615" s="57"/>
      <c r="F615" s="57"/>
      <c r="G615" s="57"/>
      <c r="H615" s="57"/>
      <c r="I615" s="57"/>
      <c r="J615" s="57"/>
      <c r="K615" s="57"/>
      <c r="L615" s="57"/>
      <c r="M615" s="57"/>
      <c r="N615" s="57"/>
      <c r="O615" s="57"/>
      <c r="P615" s="57"/>
      <c r="Q615" s="57"/>
      <c r="R615" s="2103"/>
      <c r="S615" s="255"/>
    </row>
    <row r="616" spans="1:19">
      <c r="A616" s="255"/>
      <c r="B616" s="57"/>
      <c r="C616" s="57"/>
      <c r="D616" s="57"/>
      <c r="E616" s="57"/>
      <c r="F616" s="57"/>
      <c r="G616" s="57"/>
      <c r="H616" s="57"/>
      <c r="I616" s="57"/>
      <c r="J616" s="57"/>
      <c r="K616" s="57"/>
      <c r="L616" s="57"/>
      <c r="M616" s="57"/>
      <c r="N616" s="57"/>
      <c r="O616" s="57"/>
      <c r="P616" s="57"/>
      <c r="Q616" s="57"/>
      <c r="R616" s="2103"/>
      <c r="S616" s="255"/>
    </row>
    <row r="617" spans="1:19">
      <c r="A617" s="255"/>
      <c r="B617" s="57"/>
      <c r="C617" s="57"/>
      <c r="D617" s="57"/>
      <c r="E617" s="57"/>
      <c r="F617" s="57"/>
      <c r="G617" s="57"/>
      <c r="H617" s="57"/>
      <c r="I617" s="57"/>
      <c r="J617" s="57"/>
      <c r="K617" s="57"/>
      <c r="L617" s="57"/>
      <c r="M617" s="57"/>
      <c r="N617" s="57"/>
      <c r="O617" s="57"/>
      <c r="P617" s="57"/>
      <c r="Q617" s="57"/>
      <c r="R617" s="2103"/>
      <c r="S617" s="255"/>
    </row>
    <row r="618" spans="1:19">
      <c r="A618" s="255"/>
      <c r="B618" s="57"/>
      <c r="C618" s="57"/>
      <c r="D618" s="57"/>
      <c r="E618" s="57"/>
      <c r="F618" s="57"/>
      <c r="G618" s="57"/>
      <c r="H618" s="57"/>
      <c r="I618" s="57"/>
      <c r="J618" s="57"/>
      <c r="K618" s="57"/>
      <c r="L618" s="57"/>
      <c r="M618" s="57"/>
      <c r="N618" s="57"/>
      <c r="O618" s="57"/>
      <c r="P618" s="57"/>
      <c r="Q618" s="57"/>
      <c r="R618" s="2103"/>
      <c r="S618" s="255"/>
    </row>
    <row r="619" spans="1:19">
      <c r="A619" s="255"/>
      <c r="B619" s="57"/>
      <c r="C619" s="57"/>
      <c r="D619" s="57"/>
      <c r="E619" s="57"/>
      <c r="F619" s="57"/>
      <c r="G619" s="57"/>
      <c r="H619" s="57"/>
      <c r="I619" s="57"/>
      <c r="J619" s="57"/>
      <c r="K619" s="57"/>
      <c r="L619" s="57"/>
      <c r="M619" s="57"/>
      <c r="N619" s="57"/>
      <c r="O619" s="57"/>
      <c r="P619" s="57"/>
      <c r="Q619" s="57"/>
      <c r="R619" s="2103"/>
      <c r="S619" s="255"/>
    </row>
    <row r="620" spans="1:19">
      <c r="A620" s="255"/>
      <c r="B620" s="57"/>
      <c r="C620" s="57"/>
      <c r="D620" s="57"/>
      <c r="E620" s="57"/>
      <c r="F620" s="57"/>
      <c r="G620" s="57"/>
      <c r="H620" s="57"/>
      <c r="I620" s="57"/>
      <c r="J620" s="57"/>
      <c r="K620" s="57"/>
      <c r="L620" s="57"/>
      <c r="M620" s="57"/>
      <c r="N620" s="57"/>
      <c r="O620" s="57"/>
      <c r="P620" s="57"/>
      <c r="Q620" s="57"/>
      <c r="R620" s="2103"/>
      <c r="S620" s="255"/>
    </row>
    <row r="621" spans="1:19">
      <c r="A621" s="255"/>
      <c r="B621" s="57"/>
      <c r="C621" s="57"/>
      <c r="D621" s="57"/>
      <c r="E621" s="57"/>
      <c r="F621" s="57"/>
      <c r="G621" s="57"/>
      <c r="H621" s="57"/>
      <c r="I621" s="57"/>
      <c r="J621" s="57"/>
      <c r="K621" s="57"/>
      <c r="L621" s="57"/>
      <c r="M621" s="57"/>
      <c r="N621" s="57"/>
      <c r="O621" s="57"/>
      <c r="P621" s="57"/>
      <c r="Q621" s="57"/>
      <c r="R621" s="2103"/>
      <c r="S621" s="255"/>
    </row>
    <row r="622" spans="1:19">
      <c r="A622" s="255"/>
      <c r="B622" s="57"/>
      <c r="C622" s="57"/>
      <c r="D622" s="57"/>
      <c r="E622" s="57"/>
      <c r="F622" s="57"/>
      <c r="G622" s="57"/>
      <c r="H622" s="57"/>
      <c r="I622" s="57"/>
      <c r="J622" s="57"/>
      <c r="K622" s="57"/>
      <c r="L622" s="57"/>
      <c r="M622" s="57"/>
      <c r="N622" s="57"/>
      <c r="O622" s="57"/>
      <c r="P622" s="57"/>
      <c r="Q622" s="57"/>
      <c r="R622" s="2103"/>
      <c r="S622" s="255"/>
    </row>
    <row r="623" spans="1:19">
      <c r="A623" s="255"/>
      <c r="B623" s="57"/>
      <c r="C623" s="57"/>
      <c r="D623" s="57"/>
      <c r="E623" s="57"/>
      <c r="F623" s="57"/>
      <c r="G623" s="57"/>
      <c r="H623" s="57"/>
      <c r="I623" s="57"/>
      <c r="J623" s="57"/>
      <c r="K623" s="57"/>
      <c r="L623" s="57"/>
      <c r="M623" s="57"/>
      <c r="N623" s="57"/>
      <c r="O623" s="57"/>
      <c r="P623" s="57"/>
      <c r="Q623" s="57"/>
      <c r="R623" s="2103"/>
      <c r="S623" s="255"/>
    </row>
    <row r="624" spans="1:19">
      <c r="A624" s="255"/>
      <c r="B624" s="57"/>
      <c r="C624" s="57"/>
      <c r="D624" s="57"/>
      <c r="E624" s="57"/>
      <c r="F624" s="57"/>
      <c r="G624" s="57"/>
      <c r="H624" s="57"/>
      <c r="I624" s="57"/>
      <c r="J624" s="57"/>
      <c r="K624" s="57"/>
      <c r="L624" s="57"/>
      <c r="M624" s="57"/>
      <c r="N624" s="57"/>
      <c r="O624" s="57"/>
      <c r="P624" s="57"/>
      <c r="Q624" s="57"/>
      <c r="R624" s="2103"/>
      <c r="S624" s="255"/>
    </row>
    <row r="625" spans="1:19">
      <c r="A625" s="255"/>
      <c r="B625" s="57"/>
      <c r="C625" s="57"/>
      <c r="D625" s="57"/>
      <c r="E625" s="57"/>
      <c r="F625" s="57"/>
      <c r="G625" s="57"/>
      <c r="H625" s="57"/>
      <c r="I625" s="57"/>
      <c r="J625" s="57"/>
      <c r="K625" s="57"/>
      <c r="L625" s="57"/>
      <c r="M625" s="57"/>
      <c r="N625" s="57"/>
      <c r="O625" s="57"/>
      <c r="P625" s="57"/>
      <c r="Q625" s="57"/>
      <c r="R625" s="2103"/>
      <c r="S625" s="255"/>
    </row>
    <row r="626" spans="1:19">
      <c r="A626" s="255"/>
      <c r="B626" s="57"/>
      <c r="C626" s="57"/>
      <c r="D626" s="57"/>
      <c r="E626" s="57"/>
      <c r="F626" s="57"/>
      <c r="G626" s="57"/>
      <c r="H626" s="57"/>
      <c r="I626" s="57"/>
      <c r="J626" s="57"/>
      <c r="K626" s="57"/>
      <c r="L626" s="57"/>
      <c r="M626" s="57"/>
      <c r="N626" s="57"/>
      <c r="O626" s="57"/>
      <c r="P626" s="57"/>
      <c r="Q626" s="57"/>
      <c r="R626" s="2103"/>
      <c r="S626" s="255"/>
    </row>
    <row r="627" spans="1:19">
      <c r="A627" s="255"/>
      <c r="B627" s="57"/>
      <c r="C627" s="57"/>
      <c r="D627" s="57"/>
      <c r="E627" s="57"/>
      <c r="F627" s="57"/>
      <c r="G627" s="57"/>
      <c r="H627" s="57"/>
      <c r="I627" s="57"/>
      <c r="J627" s="57"/>
      <c r="K627" s="57"/>
      <c r="L627" s="57"/>
      <c r="M627" s="57"/>
      <c r="N627" s="57"/>
      <c r="O627" s="57"/>
      <c r="P627" s="57"/>
      <c r="Q627" s="57"/>
      <c r="R627" s="2103"/>
      <c r="S627" s="255"/>
    </row>
    <row r="628" spans="1:19">
      <c r="A628" s="255"/>
      <c r="B628" s="57"/>
      <c r="C628" s="57"/>
      <c r="D628" s="57"/>
      <c r="E628" s="57"/>
      <c r="F628" s="57"/>
      <c r="G628" s="57"/>
      <c r="H628" s="57"/>
      <c r="I628" s="57"/>
      <c r="J628" s="57"/>
      <c r="K628" s="57"/>
      <c r="L628" s="57"/>
      <c r="M628" s="57"/>
      <c r="N628" s="57"/>
      <c r="O628" s="57"/>
      <c r="P628" s="57"/>
      <c r="Q628" s="57"/>
      <c r="R628" s="2103"/>
      <c r="S628" s="255"/>
    </row>
    <row r="629" spans="1:19">
      <c r="A629" s="255"/>
      <c r="B629" s="57"/>
      <c r="C629" s="57"/>
      <c r="D629" s="57"/>
      <c r="E629" s="57"/>
      <c r="F629" s="57"/>
      <c r="G629" s="57"/>
      <c r="H629" s="57"/>
      <c r="I629" s="57"/>
      <c r="J629" s="57"/>
      <c r="K629" s="57"/>
      <c r="L629" s="57"/>
      <c r="M629" s="57"/>
      <c r="N629" s="57"/>
      <c r="O629" s="57"/>
      <c r="P629" s="57"/>
      <c r="Q629" s="57"/>
      <c r="R629" s="2103"/>
      <c r="S629" s="255"/>
    </row>
    <row r="630" spans="1:19">
      <c r="A630" s="255"/>
      <c r="B630" s="57"/>
      <c r="C630" s="57"/>
      <c r="D630" s="57"/>
      <c r="E630" s="57"/>
      <c r="F630" s="57"/>
      <c r="G630" s="57"/>
      <c r="H630" s="57"/>
      <c r="I630" s="57"/>
      <c r="J630" s="57"/>
      <c r="K630" s="57"/>
      <c r="L630" s="57"/>
      <c r="M630" s="57"/>
      <c r="N630" s="57"/>
      <c r="O630" s="57"/>
      <c r="P630" s="57"/>
      <c r="Q630" s="57"/>
      <c r="R630" s="2103"/>
      <c r="S630" s="255"/>
    </row>
    <row r="631" spans="1:19">
      <c r="A631" s="255"/>
      <c r="B631" s="57"/>
      <c r="C631" s="57"/>
      <c r="D631" s="57"/>
      <c r="E631" s="57"/>
      <c r="F631" s="57"/>
      <c r="G631" s="57"/>
      <c r="H631" s="57"/>
      <c r="I631" s="57"/>
      <c r="J631" s="57"/>
      <c r="K631" s="57"/>
      <c r="L631" s="57"/>
      <c r="M631" s="57"/>
      <c r="N631" s="57"/>
      <c r="O631" s="57"/>
      <c r="P631" s="57"/>
      <c r="Q631" s="57"/>
      <c r="R631" s="2103"/>
      <c r="S631" s="255"/>
    </row>
    <row r="632" spans="1:19">
      <c r="A632" s="255"/>
      <c r="B632" s="57"/>
      <c r="C632" s="57"/>
      <c r="D632" s="57"/>
      <c r="E632" s="57"/>
      <c r="F632" s="57"/>
      <c r="G632" s="57"/>
      <c r="H632" s="57"/>
      <c r="I632" s="57"/>
      <c r="J632" s="57"/>
      <c r="K632" s="57"/>
      <c r="L632" s="57"/>
      <c r="M632" s="57"/>
      <c r="N632" s="57"/>
      <c r="O632" s="57"/>
      <c r="P632" s="57"/>
      <c r="Q632" s="57"/>
      <c r="R632" s="2103"/>
      <c r="S632" s="255"/>
    </row>
    <row r="633" spans="1:19">
      <c r="A633" s="255"/>
      <c r="B633" s="57"/>
      <c r="C633" s="57"/>
      <c r="D633" s="57"/>
      <c r="E633" s="57"/>
      <c r="F633" s="57"/>
      <c r="G633" s="57"/>
      <c r="H633" s="57"/>
      <c r="I633" s="57"/>
      <c r="J633" s="57"/>
      <c r="K633" s="57"/>
      <c r="L633" s="57"/>
      <c r="M633" s="57"/>
      <c r="N633" s="57"/>
      <c r="O633" s="57"/>
      <c r="P633" s="57"/>
      <c r="Q633" s="57"/>
      <c r="R633" s="2103"/>
      <c r="S633" s="255"/>
    </row>
    <row r="634" spans="1:19">
      <c r="A634" s="255"/>
      <c r="B634" s="57"/>
      <c r="C634" s="57"/>
      <c r="D634" s="57"/>
      <c r="E634" s="57"/>
      <c r="F634" s="57"/>
      <c r="G634" s="57"/>
      <c r="H634" s="57"/>
      <c r="I634" s="57"/>
      <c r="J634" s="57"/>
      <c r="K634" s="57"/>
      <c r="L634" s="57"/>
      <c r="M634" s="57"/>
      <c r="N634" s="57"/>
      <c r="O634" s="57"/>
      <c r="P634" s="57"/>
      <c r="Q634" s="57"/>
      <c r="R634" s="2103"/>
      <c r="S634" s="255"/>
    </row>
    <row r="635" spans="1:19">
      <c r="A635" s="255"/>
      <c r="B635" s="57"/>
      <c r="C635" s="57"/>
      <c r="D635" s="57"/>
      <c r="E635" s="57"/>
      <c r="F635" s="57"/>
      <c r="G635" s="57"/>
      <c r="H635" s="57"/>
      <c r="I635" s="57"/>
      <c r="J635" s="57"/>
      <c r="K635" s="57"/>
      <c r="L635" s="57"/>
      <c r="M635" s="57"/>
      <c r="N635" s="57"/>
      <c r="O635" s="57"/>
      <c r="P635" s="57"/>
      <c r="Q635" s="57"/>
      <c r="R635" s="2103"/>
      <c r="S635" s="255"/>
    </row>
    <row r="636" spans="1:19">
      <c r="A636" s="255"/>
      <c r="B636" s="57"/>
      <c r="C636" s="57"/>
      <c r="D636" s="57"/>
      <c r="E636" s="57"/>
      <c r="F636" s="57"/>
      <c r="G636" s="57"/>
      <c r="H636" s="57"/>
      <c r="I636" s="57"/>
      <c r="J636" s="57"/>
      <c r="K636" s="57"/>
      <c r="L636" s="57"/>
      <c r="M636" s="57"/>
      <c r="N636" s="57"/>
      <c r="O636" s="57"/>
      <c r="P636" s="57"/>
      <c r="Q636" s="57"/>
      <c r="R636" s="2103"/>
      <c r="S636" s="255"/>
    </row>
    <row r="637" spans="1:19">
      <c r="A637" s="255"/>
      <c r="B637" s="57"/>
      <c r="C637" s="57"/>
      <c r="D637" s="57"/>
      <c r="E637" s="57"/>
      <c r="F637" s="57"/>
      <c r="G637" s="57"/>
      <c r="H637" s="57"/>
      <c r="I637" s="57"/>
      <c r="J637" s="57"/>
      <c r="K637" s="57"/>
      <c r="L637" s="57"/>
      <c r="M637" s="57"/>
      <c r="N637" s="57"/>
      <c r="O637" s="57"/>
      <c r="P637" s="57"/>
      <c r="Q637" s="57"/>
      <c r="R637" s="2103"/>
      <c r="S637" s="255"/>
    </row>
    <row r="638" spans="1:19">
      <c r="A638" s="255"/>
      <c r="B638" s="57"/>
      <c r="C638" s="57"/>
      <c r="D638" s="57"/>
      <c r="E638" s="57"/>
      <c r="F638" s="57"/>
      <c r="G638" s="57"/>
      <c r="H638" s="57"/>
      <c r="I638" s="57"/>
      <c r="J638" s="57"/>
      <c r="K638" s="57"/>
      <c r="L638" s="57"/>
      <c r="M638" s="57"/>
      <c r="N638" s="57"/>
      <c r="O638" s="57"/>
      <c r="P638" s="57"/>
      <c r="Q638" s="57"/>
      <c r="R638" s="2103"/>
      <c r="S638" s="255"/>
    </row>
    <row r="639" spans="1:19">
      <c r="A639" s="255"/>
      <c r="B639" s="57"/>
      <c r="C639" s="57"/>
      <c r="D639" s="57"/>
      <c r="E639" s="57"/>
      <c r="F639" s="57"/>
      <c r="G639" s="57"/>
      <c r="H639" s="57"/>
      <c r="I639" s="57"/>
      <c r="J639" s="57"/>
      <c r="K639" s="57"/>
      <c r="L639" s="57"/>
      <c r="M639" s="57"/>
      <c r="N639" s="57"/>
      <c r="O639" s="57"/>
      <c r="P639" s="57"/>
      <c r="Q639" s="57"/>
      <c r="R639" s="2103"/>
      <c r="S639" s="255"/>
    </row>
    <row r="640" spans="1:19">
      <c r="A640" s="255"/>
      <c r="B640" s="57"/>
      <c r="C640" s="57"/>
      <c r="D640" s="57"/>
      <c r="E640" s="57"/>
      <c r="F640" s="57"/>
      <c r="G640" s="57"/>
      <c r="H640" s="57"/>
      <c r="I640" s="57"/>
      <c r="J640" s="57"/>
      <c r="K640" s="57"/>
      <c r="L640" s="57"/>
      <c r="M640" s="57"/>
      <c r="N640" s="57"/>
      <c r="O640" s="57"/>
      <c r="P640" s="57"/>
      <c r="Q640" s="57"/>
      <c r="R640" s="2103"/>
      <c r="S640" s="255"/>
    </row>
    <row r="641" spans="1:19">
      <c r="A641" s="255"/>
      <c r="B641" s="57"/>
      <c r="C641" s="57"/>
      <c r="D641" s="57"/>
      <c r="E641" s="57"/>
      <c r="F641" s="57"/>
      <c r="G641" s="57"/>
      <c r="H641" s="57"/>
      <c r="I641" s="57"/>
      <c r="J641" s="57"/>
      <c r="K641" s="57"/>
      <c r="L641" s="57"/>
      <c r="M641" s="57"/>
      <c r="N641" s="57"/>
      <c r="O641" s="57"/>
      <c r="P641" s="57"/>
      <c r="Q641" s="57"/>
      <c r="R641" s="2103"/>
      <c r="S641" s="255"/>
    </row>
    <row r="642" spans="1:19">
      <c r="A642" s="255"/>
      <c r="B642" s="57"/>
      <c r="C642" s="57"/>
      <c r="D642" s="57"/>
      <c r="E642" s="57"/>
      <c r="F642" s="57"/>
      <c r="G642" s="57"/>
      <c r="H642" s="57"/>
      <c r="I642" s="57"/>
      <c r="J642" s="57"/>
      <c r="K642" s="57"/>
      <c r="L642" s="57"/>
      <c r="M642" s="57"/>
      <c r="N642" s="57"/>
      <c r="O642" s="57"/>
      <c r="P642" s="57"/>
      <c r="Q642" s="57"/>
      <c r="R642" s="2103"/>
      <c r="S642" s="255"/>
    </row>
    <row r="643" spans="1:19">
      <c r="A643" s="255"/>
      <c r="B643" s="57"/>
      <c r="C643" s="57"/>
      <c r="D643" s="57"/>
      <c r="E643" s="57"/>
      <c r="F643" s="57"/>
      <c r="G643" s="57"/>
      <c r="H643" s="57"/>
      <c r="I643" s="57"/>
      <c r="J643" s="57"/>
      <c r="K643" s="57"/>
      <c r="L643" s="57"/>
      <c r="M643" s="57"/>
      <c r="N643" s="57"/>
      <c r="O643" s="57"/>
      <c r="P643" s="57"/>
      <c r="Q643" s="57"/>
      <c r="R643" s="2103"/>
      <c r="S643" s="255"/>
    </row>
    <row r="644" spans="1:19">
      <c r="A644" s="255"/>
      <c r="B644" s="57"/>
      <c r="C644" s="57"/>
      <c r="D644" s="57"/>
      <c r="E644" s="57"/>
      <c r="F644" s="57"/>
      <c r="G644" s="57"/>
      <c r="H644" s="57"/>
      <c r="I644" s="57"/>
      <c r="J644" s="57"/>
      <c r="K644" s="57"/>
      <c r="L644" s="57"/>
      <c r="M644" s="57"/>
      <c r="N644" s="57"/>
      <c r="O644" s="57"/>
      <c r="P644" s="57"/>
      <c r="Q644" s="57"/>
      <c r="R644" s="2103"/>
      <c r="S644" s="255"/>
    </row>
    <row r="645" spans="1:19">
      <c r="A645" s="255"/>
      <c r="B645" s="57"/>
      <c r="C645" s="57"/>
      <c r="D645" s="57"/>
      <c r="E645" s="57"/>
      <c r="F645" s="57"/>
      <c r="G645" s="57"/>
      <c r="H645" s="57"/>
      <c r="I645" s="57"/>
      <c r="J645" s="57"/>
      <c r="K645" s="57"/>
      <c r="L645" s="57"/>
      <c r="M645" s="57"/>
      <c r="N645" s="57"/>
      <c r="O645" s="57"/>
      <c r="P645" s="57"/>
      <c r="Q645" s="57"/>
      <c r="R645" s="2103"/>
      <c r="S645" s="255"/>
    </row>
    <row r="646" spans="1:19">
      <c r="A646" s="255"/>
      <c r="B646" s="57"/>
      <c r="C646" s="57"/>
      <c r="D646" s="57"/>
      <c r="E646" s="57"/>
      <c r="F646" s="57"/>
      <c r="G646" s="57"/>
      <c r="H646" s="57"/>
      <c r="I646" s="57"/>
      <c r="J646" s="57"/>
      <c r="K646" s="57"/>
      <c r="L646" s="57"/>
      <c r="M646" s="57"/>
      <c r="N646" s="57"/>
      <c r="O646" s="57"/>
      <c r="P646" s="57"/>
      <c r="Q646" s="57"/>
      <c r="R646" s="2103"/>
      <c r="S646" s="255"/>
    </row>
    <row r="647" spans="1:19">
      <c r="A647" s="255"/>
      <c r="B647" s="57"/>
      <c r="C647" s="57"/>
      <c r="D647" s="57"/>
      <c r="E647" s="57"/>
      <c r="F647" s="57"/>
      <c r="G647" s="57"/>
      <c r="H647" s="57"/>
      <c r="I647" s="57"/>
      <c r="J647" s="57"/>
      <c r="K647" s="57"/>
      <c r="L647" s="57"/>
      <c r="M647" s="57"/>
      <c r="N647" s="57"/>
      <c r="O647" s="57"/>
      <c r="P647" s="57"/>
      <c r="Q647" s="57"/>
      <c r="R647" s="2103"/>
      <c r="S647" s="255"/>
    </row>
    <row r="648" spans="1:19">
      <c r="A648" s="255"/>
      <c r="B648" s="57"/>
      <c r="C648" s="57"/>
      <c r="D648" s="57"/>
      <c r="E648" s="57"/>
      <c r="F648" s="57"/>
      <c r="G648" s="57"/>
      <c r="H648" s="57"/>
      <c r="I648" s="57"/>
      <c r="J648" s="57"/>
      <c r="K648" s="57"/>
      <c r="L648" s="57"/>
      <c r="M648" s="57"/>
      <c r="N648" s="57"/>
      <c r="O648" s="57"/>
      <c r="P648" s="57"/>
      <c r="Q648" s="57"/>
      <c r="R648" s="2103"/>
      <c r="S648" s="255"/>
    </row>
    <row r="649" spans="1:19">
      <c r="A649" s="255"/>
      <c r="B649" s="57"/>
      <c r="C649" s="57"/>
      <c r="D649" s="57"/>
      <c r="E649" s="57"/>
      <c r="F649" s="57"/>
      <c r="G649" s="57"/>
      <c r="H649" s="57"/>
      <c r="I649" s="57"/>
      <c r="J649" s="57"/>
      <c r="K649" s="57"/>
      <c r="L649" s="57"/>
      <c r="M649" s="57"/>
      <c r="N649" s="57"/>
      <c r="O649" s="57"/>
      <c r="P649" s="57"/>
      <c r="Q649" s="57"/>
      <c r="R649" s="2103"/>
      <c r="S649" s="255"/>
    </row>
    <row r="650" spans="1:19">
      <c r="A650" s="255"/>
      <c r="B650" s="57"/>
      <c r="C650" s="57"/>
      <c r="D650" s="57"/>
      <c r="E650" s="57"/>
      <c r="F650" s="57"/>
      <c r="G650" s="57"/>
      <c r="H650" s="57"/>
      <c r="I650" s="57"/>
      <c r="J650" s="57"/>
      <c r="K650" s="57"/>
      <c r="L650" s="57"/>
      <c r="M650" s="57"/>
      <c r="N650" s="57"/>
      <c r="O650" s="57"/>
      <c r="P650" s="57"/>
      <c r="Q650" s="57"/>
      <c r="R650" s="2103"/>
      <c r="S650" s="255"/>
    </row>
    <row r="651" spans="1:19">
      <c r="A651" s="255"/>
      <c r="B651" s="57"/>
      <c r="C651" s="57"/>
      <c r="D651" s="57"/>
      <c r="E651" s="57"/>
      <c r="F651" s="57"/>
      <c r="G651" s="57"/>
      <c r="H651" s="57"/>
      <c r="I651" s="57"/>
      <c r="J651" s="57"/>
      <c r="K651" s="57"/>
      <c r="L651" s="57"/>
      <c r="M651" s="57"/>
      <c r="N651" s="57"/>
      <c r="O651" s="57"/>
      <c r="P651" s="57"/>
      <c r="Q651" s="57"/>
      <c r="R651" s="2103"/>
      <c r="S651" s="255"/>
    </row>
    <row r="652" spans="1:19">
      <c r="A652" s="255"/>
      <c r="B652" s="57"/>
      <c r="C652" s="57"/>
      <c r="D652" s="57"/>
      <c r="E652" s="57"/>
      <c r="F652" s="57"/>
      <c r="G652" s="57"/>
      <c r="H652" s="57"/>
      <c r="I652" s="57"/>
      <c r="J652" s="57"/>
      <c r="K652" s="57"/>
      <c r="L652" s="57"/>
      <c r="M652" s="57"/>
      <c r="N652" s="57"/>
      <c r="O652" s="57"/>
      <c r="P652" s="57"/>
      <c r="Q652" s="57"/>
      <c r="R652" s="2103"/>
      <c r="S652" s="255"/>
    </row>
    <row r="653" spans="1:19">
      <c r="A653" s="255"/>
      <c r="B653" s="57"/>
      <c r="C653" s="57"/>
      <c r="D653" s="57"/>
      <c r="E653" s="57"/>
      <c r="F653" s="57"/>
      <c r="G653" s="57"/>
      <c r="H653" s="57"/>
      <c r="I653" s="57"/>
      <c r="J653" s="57"/>
      <c r="K653" s="57"/>
      <c r="L653" s="57"/>
      <c r="M653" s="57"/>
      <c r="N653" s="57"/>
      <c r="O653" s="57"/>
      <c r="P653" s="57"/>
      <c r="Q653" s="57"/>
      <c r="R653" s="2103"/>
      <c r="S653" s="255"/>
    </row>
    <row r="654" spans="1:19">
      <c r="A654" s="255"/>
      <c r="B654" s="57"/>
      <c r="C654" s="57"/>
      <c r="D654" s="57"/>
      <c r="E654" s="57"/>
      <c r="F654" s="57"/>
      <c r="G654" s="57"/>
      <c r="H654" s="57"/>
      <c r="I654" s="57"/>
      <c r="J654" s="57"/>
      <c r="K654" s="57"/>
      <c r="L654" s="57"/>
      <c r="M654" s="57"/>
      <c r="N654" s="57"/>
      <c r="O654" s="57"/>
      <c r="P654" s="57"/>
      <c r="Q654" s="57"/>
      <c r="R654" s="2103"/>
      <c r="S654" s="255"/>
    </row>
    <row r="655" spans="1:19">
      <c r="A655" s="255"/>
      <c r="B655" s="57"/>
      <c r="C655" s="57"/>
      <c r="D655" s="57"/>
      <c r="E655" s="57"/>
      <c r="F655" s="57"/>
      <c r="G655" s="57"/>
      <c r="H655" s="57"/>
      <c r="I655" s="57"/>
      <c r="J655" s="57"/>
      <c r="K655" s="57"/>
      <c r="L655" s="57"/>
      <c r="M655" s="57"/>
      <c r="N655" s="57"/>
      <c r="O655" s="57"/>
      <c r="P655" s="57"/>
      <c r="Q655" s="57"/>
      <c r="R655" s="2103"/>
      <c r="S655" s="255"/>
    </row>
    <row r="656" spans="1:19">
      <c r="A656" s="255"/>
      <c r="B656" s="57"/>
      <c r="C656" s="57"/>
      <c r="D656" s="57"/>
      <c r="E656" s="57"/>
      <c r="F656" s="57"/>
      <c r="G656" s="57"/>
      <c r="H656" s="57"/>
      <c r="I656" s="57"/>
      <c r="J656" s="57"/>
      <c r="K656" s="57"/>
      <c r="L656" s="57"/>
      <c r="M656" s="57"/>
      <c r="N656" s="57"/>
      <c r="O656" s="57"/>
      <c r="P656" s="57"/>
      <c r="Q656" s="57"/>
      <c r="R656" s="2103"/>
      <c r="S656" s="255"/>
    </row>
    <row r="657" spans="1:19">
      <c r="A657" s="255"/>
      <c r="B657" s="57"/>
      <c r="C657" s="57"/>
      <c r="D657" s="57"/>
      <c r="E657" s="57"/>
      <c r="F657" s="57"/>
      <c r="G657" s="57"/>
      <c r="H657" s="57"/>
      <c r="I657" s="57"/>
      <c r="J657" s="57"/>
      <c r="K657" s="57"/>
      <c r="L657" s="57"/>
      <c r="M657" s="57"/>
      <c r="N657" s="57"/>
      <c r="O657" s="57"/>
      <c r="P657" s="57"/>
      <c r="Q657" s="57"/>
      <c r="R657" s="2103"/>
      <c r="S657" s="255"/>
    </row>
    <row r="658" spans="1:19">
      <c r="A658" s="255"/>
      <c r="B658" s="57"/>
      <c r="C658" s="57"/>
      <c r="D658" s="57"/>
      <c r="E658" s="57"/>
      <c r="F658" s="57"/>
      <c r="G658" s="57"/>
      <c r="H658" s="57"/>
      <c r="I658" s="57"/>
      <c r="J658" s="57"/>
      <c r="K658" s="57"/>
      <c r="L658" s="57"/>
      <c r="M658" s="57"/>
      <c r="N658" s="57"/>
      <c r="O658" s="57"/>
      <c r="P658" s="57"/>
      <c r="Q658" s="57"/>
      <c r="R658" s="2103"/>
      <c r="S658" s="255"/>
    </row>
    <row r="659" spans="1:19">
      <c r="A659" s="255"/>
      <c r="B659" s="57"/>
      <c r="C659" s="57"/>
      <c r="D659" s="57"/>
      <c r="E659" s="57"/>
      <c r="F659" s="57"/>
      <c r="G659" s="57"/>
      <c r="H659" s="57"/>
      <c r="I659" s="57"/>
      <c r="J659" s="57"/>
      <c r="K659" s="57"/>
      <c r="L659" s="57"/>
      <c r="M659" s="57"/>
      <c r="N659" s="57"/>
      <c r="O659" s="57"/>
      <c r="P659" s="57"/>
      <c r="Q659" s="57"/>
      <c r="R659" s="2103"/>
      <c r="S659" s="255"/>
    </row>
    <row r="660" spans="1:19">
      <c r="A660" s="255"/>
      <c r="B660" s="57"/>
      <c r="C660" s="57"/>
      <c r="D660" s="57"/>
      <c r="E660" s="57"/>
      <c r="F660" s="57"/>
      <c r="G660" s="57"/>
      <c r="H660" s="57"/>
      <c r="I660" s="57"/>
      <c r="J660" s="57"/>
      <c r="K660" s="57"/>
      <c r="L660" s="57"/>
      <c r="M660" s="57"/>
      <c r="N660" s="57"/>
      <c r="O660" s="57"/>
      <c r="P660" s="57"/>
      <c r="Q660" s="57"/>
      <c r="R660" s="2103"/>
      <c r="S660" s="255"/>
    </row>
    <row r="661" spans="1:19">
      <c r="A661" s="255"/>
      <c r="B661" s="57"/>
      <c r="C661" s="57"/>
      <c r="D661" s="57"/>
      <c r="E661" s="57"/>
      <c r="F661" s="57"/>
      <c r="G661" s="57"/>
      <c r="H661" s="57"/>
      <c r="I661" s="57"/>
      <c r="J661" s="57"/>
      <c r="K661" s="57"/>
      <c r="L661" s="57"/>
      <c r="M661" s="57"/>
      <c r="N661" s="57"/>
      <c r="O661" s="57"/>
      <c r="P661" s="57"/>
      <c r="Q661" s="57"/>
      <c r="R661" s="2103"/>
      <c r="S661" s="255"/>
    </row>
    <row r="662" spans="1:19">
      <c r="A662" s="255"/>
      <c r="B662" s="57"/>
      <c r="C662" s="57"/>
      <c r="D662" s="57"/>
      <c r="E662" s="57"/>
      <c r="F662" s="57"/>
      <c r="G662" s="57"/>
      <c r="H662" s="57"/>
      <c r="I662" s="57"/>
      <c r="J662" s="57"/>
      <c r="K662" s="57"/>
      <c r="L662" s="57"/>
      <c r="M662" s="57"/>
      <c r="N662" s="57"/>
      <c r="O662" s="57"/>
      <c r="P662" s="57"/>
      <c r="Q662" s="57"/>
      <c r="R662" s="2103"/>
      <c r="S662" s="255"/>
    </row>
    <row r="663" spans="1:19">
      <c r="A663" s="255"/>
      <c r="B663" s="57"/>
      <c r="C663" s="57"/>
      <c r="D663" s="57"/>
      <c r="E663" s="57"/>
      <c r="F663" s="57"/>
      <c r="G663" s="57"/>
      <c r="H663" s="57"/>
      <c r="I663" s="57"/>
      <c r="J663" s="57"/>
      <c r="K663" s="57"/>
      <c r="L663" s="57"/>
      <c r="M663" s="57"/>
      <c r="N663" s="57"/>
      <c r="O663" s="57"/>
      <c r="P663" s="57"/>
      <c r="Q663" s="57"/>
      <c r="R663" s="2103"/>
      <c r="S663" s="255"/>
    </row>
    <row r="664" spans="1:19">
      <c r="A664" s="255"/>
      <c r="B664" s="57"/>
      <c r="C664" s="57"/>
      <c r="D664" s="57"/>
      <c r="E664" s="57"/>
      <c r="F664" s="57"/>
      <c r="G664" s="57"/>
      <c r="H664" s="57"/>
      <c r="I664" s="57"/>
      <c r="J664" s="57"/>
      <c r="K664" s="57"/>
      <c r="L664" s="57"/>
      <c r="M664" s="57"/>
      <c r="N664" s="57"/>
      <c r="O664" s="57"/>
      <c r="P664" s="57"/>
      <c r="Q664" s="57"/>
      <c r="R664" s="2103"/>
      <c r="S664" s="255"/>
    </row>
    <row r="665" spans="1:19">
      <c r="A665" s="255"/>
      <c r="B665" s="57"/>
      <c r="C665" s="57"/>
      <c r="D665" s="57"/>
      <c r="E665" s="57"/>
      <c r="F665" s="57"/>
      <c r="G665" s="57"/>
      <c r="H665" s="57"/>
      <c r="I665" s="57"/>
      <c r="J665" s="57"/>
      <c r="K665" s="57"/>
      <c r="L665" s="57"/>
      <c r="M665" s="57"/>
      <c r="N665" s="57"/>
      <c r="O665" s="57"/>
      <c r="P665" s="57"/>
      <c r="Q665" s="57"/>
      <c r="R665" s="2103"/>
      <c r="S665" s="255"/>
    </row>
    <row r="666" spans="1:19">
      <c r="A666" s="255"/>
      <c r="B666" s="57"/>
      <c r="C666" s="57"/>
      <c r="D666" s="57"/>
      <c r="E666" s="57"/>
      <c r="F666" s="57"/>
      <c r="G666" s="57"/>
      <c r="H666" s="57"/>
      <c r="I666" s="57"/>
      <c r="J666" s="57"/>
      <c r="K666" s="57"/>
      <c r="L666" s="57"/>
      <c r="M666" s="57"/>
      <c r="N666" s="57"/>
      <c r="O666" s="57"/>
      <c r="P666" s="57"/>
      <c r="Q666" s="57"/>
      <c r="R666" s="2103"/>
      <c r="S666" s="255"/>
    </row>
    <row r="667" spans="1:19">
      <c r="A667" s="255"/>
      <c r="B667" s="57"/>
      <c r="C667" s="57"/>
      <c r="D667" s="57"/>
      <c r="E667" s="57"/>
      <c r="F667" s="57"/>
      <c r="G667" s="57"/>
      <c r="H667" s="57"/>
      <c r="I667" s="57"/>
      <c r="J667" s="57"/>
      <c r="K667" s="57"/>
      <c r="L667" s="57"/>
      <c r="M667" s="57"/>
      <c r="N667" s="57"/>
      <c r="O667" s="57"/>
      <c r="P667" s="57"/>
      <c r="Q667" s="57"/>
      <c r="R667" s="2103"/>
      <c r="S667" s="255"/>
    </row>
    <row r="668" spans="1:19">
      <c r="A668" s="255"/>
      <c r="B668" s="57"/>
      <c r="C668" s="57"/>
      <c r="D668" s="57"/>
      <c r="E668" s="57"/>
      <c r="F668" s="57"/>
      <c r="G668" s="57"/>
      <c r="H668" s="57"/>
      <c r="I668" s="57"/>
      <c r="J668" s="57"/>
      <c r="K668" s="57"/>
      <c r="L668" s="57"/>
      <c r="M668" s="57"/>
      <c r="N668" s="57"/>
      <c r="O668" s="57"/>
      <c r="P668" s="57"/>
      <c r="Q668" s="57"/>
      <c r="R668" s="2103"/>
      <c r="S668" s="255"/>
    </row>
    <row r="669" spans="1:19">
      <c r="A669" s="255"/>
      <c r="B669" s="57"/>
      <c r="C669" s="57"/>
      <c r="D669" s="57"/>
      <c r="E669" s="57"/>
      <c r="F669" s="57"/>
      <c r="G669" s="57"/>
      <c r="H669" s="57"/>
      <c r="I669" s="57"/>
      <c r="J669" s="57"/>
      <c r="K669" s="57"/>
      <c r="L669" s="57"/>
      <c r="M669" s="57"/>
      <c r="N669" s="57"/>
      <c r="O669" s="57"/>
      <c r="P669" s="57"/>
      <c r="Q669" s="57"/>
      <c r="R669" s="2103"/>
      <c r="S669" s="255"/>
    </row>
    <row r="670" spans="1:19">
      <c r="A670" s="255"/>
      <c r="B670" s="57"/>
      <c r="C670" s="57"/>
      <c r="D670" s="57"/>
      <c r="E670" s="57"/>
      <c r="F670" s="57"/>
      <c r="G670" s="57"/>
      <c r="H670" s="57"/>
      <c r="I670" s="57"/>
      <c r="J670" s="57"/>
      <c r="K670" s="57"/>
      <c r="L670" s="57"/>
      <c r="M670" s="57"/>
      <c r="N670" s="57"/>
      <c r="O670" s="57"/>
      <c r="P670" s="57"/>
      <c r="Q670" s="57"/>
      <c r="R670" s="2103"/>
      <c r="S670" s="255"/>
    </row>
    <row r="671" spans="1:19">
      <c r="A671" s="255"/>
      <c r="B671" s="57"/>
      <c r="C671" s="57"/>
      <c r="D671" s="57"/>
      <c r="E671" s="57"/>
      <c r="F671" s="57"/>
      <c r="G671" s="57"/>
      <c r="H671" s="57"/>
      <c r="I671" s="57"/>
      <c r="J671" s="57"/>
      <c r="K671" s="57"/>
      <c r="L671" s="57"/>
      <c r="M671" s="57"/>
      <c r="N671" s="57"/>
      <c r="O671" s="57"/>
      <c r="P671" s="57"/>
      <c r="Q671" s="57"/>
      <c r="R671" s="2103"/>
      <c r="S671" s="255"/>
    </row>
    <row r="672" spans="1:19">
      <c r="A672" s="255"/>
      <c r="B672" s="57"/>
      <c r="C672" s="57"/>
      <c r="D672" s="57"/>
      <c r="E672" s="57"/>
      <c r="F672" s="57"/>
      <c r="G672" s="57"/>
      <c r="H672" s="57"/>
      <c r="I672" s="57"/>
      <c r="J672" s="57"/>
      <c r="K672" s="57"/>
      <c r="L672" s="57"/>
      <c r="M672" s="57"/>
      <c r="N672" s="57"/>
      <c r="O672" s="57"/>
      <c r="P672" s="57"/>
      <c r="Q672" s="57"/>
      <c r="R672" s="2103"/>
      <c r="S672" s="255"/>
    </row>
    <row r="673" spans="1:19">
      <c r="A673" s="255"/>
      <c r="B673" s="57"/>
      <c r="C673" s="57"/>
      <c r="D673" s="57"/>
      <c r="E673" s="57"/>
      <c r="F673" s="57"/>
      <c r="G673" s="57"/>
      <c r="H673" s="57"/>
      <c r="I673" s="57"/>
      <c r="J673" s="57"/>
      <c r="K673" s="57"/>
      <c r="L673" s="57"/>
      <c r="M673" s="57"/>
      <c r="N673" s="57"/>
      <c r="O673" s="57"/>
      <c r="P673" s="57"/>
      <c r="Q673" s="57"/>
      <c r="R673" s="2103"/>
      <c r="S673" s="255"/>
    </row>
    <row r="674" spans="1:19">
      <c r="A674" s="255"/>
      <c r="B674" s="57"/>
      <c r="C674" s="57"/>
      <c r="D674" s="57"/>
      <c r="E674" s="57"/>
      <c r="F674" s="57"/>
      <c r="G674" s="57"/>
      <c r="H674" s="57"/>
      <c r="I674" s="57"/>
      <c r="J674" s="57"/>
      <c r="K674" s="57"/>
      <c r="L674" s="57"/>
      <c r="M674" s="57"/>
      <c r="N674" s="57"/>
      <c r="O674" s="57"/>
      <c r="P674" s="57"/>
      <c r="Q674" s="57"/>
      <c r="R674" s="2103"/>
      <c r="S674" s="255"/>
    </row>
    <row r="675" spans="1:19">
      <c r="A675" s="255"/>
      <c r="B675" s="57"/>
      <c r="C675" s="57"/>
      <c r="D675" s="57"/>
      <c r="E675" s="57"/>
      <c r="F675" s="57"/>
      <c r="G675" s="57"/>
      <c r="H675" s="57"/>
      <c r="I675" s="57"/>
      <c r="J675" s="57"/>
      <c r="K675" s="57"/>
      <c r="L675" s="57"/>
      <c r="M675" s="57"/>
      <c r="N675" s="57"/>
      <c r="O675" s="57"/>
      <c r="P675" s="57"/>
      <c r="Q675" s="57"/>
      <c r="R675" s="2103"/>
      <c r="S675" s="255"/>
    </row>
    <row r="676" spans="1:19">
      <c r="A676" s="255"/>
      <c r="B676" s="57"/>
      <c r="C676" s="57"/>
      <c r="D676" s="57"/>
      <c r="E676" s="57"/>
      <c r="F676" s="57"/>
      <c r="G676" s="57"/>
      <c r="H676" s="57"/>
      <c r="I676" s="57"/>
      <c r="J676" s="57"/>
      <c r="K676" s="57"/>
      <c r="L676" s="57"/>
      <c r="M676" s="57"/>
      <c r="N676" s="57"/>
      <c r="O676" s="57"/>
      <c r="P676" s="57"/>
      <c r="Q676" s="57"/>
      <c r="R676" s="2103"/>
      <c r="S676" s="255"/>
    </row>
    <row r="677" spans="1:19">
      <c r="A677" s="255"/>
      <c r="B677" s="57"/>
      <c r="C677" s="57"/>
      <c r="D677" s="57"/>
      <c r="E677" s="57"/>
      <c r="F677" s="57"/>
      <c r="G677" s="57"/>
      <c r="H677" s="57"/>
      <c r="I677" s="57"/>
      <c r="J677" s="57"/>
      <c r="K677" s="57"/>
      <c r="L677" s="57"/>
      <c r="M677" s="57"/>
      <c r="N677" s="57"/>
      <c r="O677" s="57"/>
      <c r="P677" s="57"/>
      <c r="Q677" s="57"/>
      <c r="R677" s="2103"/>
      <c r="S677" s="255"/>
    </row>
    <row r="678" spans="1:19">
      <c r="A678" s="255"/>
      <c r="B678" s="57"/>
      <c r="C678" s="57"/>
      <c r="D678" s="57"/>
      <c r="E678" s="57"/>
      <c r="F678" s="57"/>
      <c r="G678" s="57"/>
      <c r="H678" s="57"/>
      <c r="I678" s="57"/>
      <c r="J678" s="57"/>
      <c r="K678" s="57"/>
      <c r="L678" s="57"/>
      <c r="M678" s="57"/>
      <c r="N678" s="57"/>
      <c r="O678" s="57"/>
      <c r="P678" s="57"/>
      <c r="Q678" s="57"/>
      <c r="R678" s="2103"/>
      <c r="S678" s="255"/>
    </row>
    <row r="679" spans="1:19">
      <c r="A679" s="255"/>
      <c r="B679" s="57"/>
      <c r="C679" s="57"/>
      <c r="D679" s="57"/>
      <c r="E679" s="57"/>
      <c r="F679" s="57"/>
      <c r="G679" s="57"/>
      <c r="H679" s="57"/>
      <c r="I679" s="57"/>
      <c r="J679" s="57"/>
      <c r="K679" s="57"/>
      <c r="L679" s="57"/>
      <c r="M679" s="57"/>
      <c r="N679" s="57"/>
      <c r="O679" s="57"/>
      <c r="P679" s="57"/>
      <c r="Q679" s="57"/>
      <c r="R679" s="2103"/>
      <c r="S679" s="255"/>
    </row>
    <row r="680" spans="1:19">
      <c r="A680" s="255"/>
      <c r="B680" s="57"/>
      <c r="C680" s="57"/>
      <c r="D680" s="57"/>
      <c r="E680" s="57"/>
      <c r="F680" s="57"/>
      <c r="G680" s="57"/>
      <c r="H680" s="57"/>
      <c r="I680" s="57"/>
      <c r="J680" s="57"/>
      <c r="K680" s="57"/>
      <c r="L680" s="57"/>
      <c r="M680" s="57"/>
      <c r="N680" s="57"/>
      <c r="O680" s="57"/>
      <c r="P680" s="57"/>
      <c r="Q680" s="57"/>
      <c r="R680" s="2103"/>
      <c r="S680" s="255"/>
    </row>
    <row r="681" spans="1:19">
      <c r="A681" s="255"/>
      <c r="B681" s="57"/>
      <c r="C681" s="57"/>
      <c r="D681" s="57"/>
      <c r="E681" s="57"/>
      <c r="F681" s="57"/>
      <c r="G681" s="57"/>
      <c r="H681" s="57"/>
      <c r="I681" s="57"/>
      <c r="J681" s="57"/>
      <c r="K681" s="57"/>
      <c r="L681" s="57"/>
      <c r="M681" s="57"/>
      <c r="N681" s="57"/>
      <c r="O681" s="57"/>
      <c r="P681" s="57"/>
      <c r="Q681" s="57"/>
      <c r="R681" s="2103"/>
      <c r="S681" s="255"/>
    </row>
    <row r="682" spans="1:19">
      <c r="A682" s="255"/>
      <c r="B682" s="57"/>
      <c r="C682" s="57"/>
      <c r="D682" s="57"/>
      <c r="E682" s="57"/>
      <c r="F682" s="57"/>
      <c r="G682" s="57"/>
      <c r="H682" s="57"/>
      <c r="I682" s="57"/>
      <c r="J682" s="57"/>
      <c r="K682" s="57"/>
      <c r="L682" s="57"/>
      <c r="M682" s="57"/>
      <c r="N682" s="57"/>
      <c r="O682" s="57"/>
      <c r="P682" s="57"/>
      <c r="Q682" s="57"/>
      <c r="R682" s="2103"/>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7"/>
  <sheetViews>
    <sheetView workbookViewId="0">
      <selection activeCell="H33" sqref="H3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2764</v>
      </c>
      <c r="C1" s="2718">
        <f>项目基本情况!D3</f>
        <v>44377</v>
      </c>
      <c r="H1" s="2652">
        <f>IF(C1&gt;C13,0,MATCH(C1,C$13:C$104,-1))+IF(SUMIF(C13:C104,C1,D13:D104)=0,13,12)</f>
        <v>13</v>
      </c>
      <c r="I1" s="2652">
        <f ca="1">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2795</v>
      </c>
      <c r="C2" s="2719">
        <f>'数据-取费表'!B22</f>
        <v>3</v>
      </c>
      <c r="D2" s="2714" t="s">
        <v>2765</v>
      </c>
      <c r="E2" s="2717">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2797</v>
      </c>
      <c r="C3" s="2716">
        <f>'数据-取费表'!B19</f>
        <v>0</v>
      </c>
      <c r="D3" s="2714" t="s">
        <v>2765</v>
      </c>
      <c r="E3" s="2717">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2796</v>
      </c>
      <c r="C4" s="2717">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6" ht="14.25">
      <c r="A17" s="2697"/>
      <c r="B17" s="2698" t="s">
        <v>2996</v>
      </c>
      <c r="C17" s="2707">
        <v>43697</v>
      </c>
      <c r="D17" s="3281">
        <v>4.25</v>
      </c>
      <c r="E17" s="3281">
        <v>4.25</v>
      </c>
      <c r="F17" s="3281">
        <v>4.25</v>
      </c>
      <c r="G17" s="3281">
        <v>4.25</v>
      </c>
      <c r="H17" s="3281">
        <v>4.8499999999999996</v>
      </c>
      <c r="I17" s="3281"/>
      <c r="J17" s="328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6" ht="15">
      <c r="B18" s="2704"/>
      <c r="C18" s="2705">
        <v>42242</v>
      </c>
      <c r="D18" s="2704">
        <v>4.5999999999999996</v>
      </c>
      <c r="E18" s="2704">
        <v>4.5999999999999996</v>
      </c>
      <c r="F18" s="2704">
        <v>5</v>
      </c>
      <c r="G18" s="2704">
        <v>5</v>
      </c>
      <c r="H18" s="2704">
        <v>5.15</v>
      </c>
      <c r="I18" s="2704">
        <v>2.75</v>
      </c>
      <c r="J18" s="2704">
        <v>3.25</v>
      </c>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1:26">
      <c r="B19" s="2704"/>
      <c r="C19" s="2705">
        <v>42183</v>
      </c>
      <c r="D19" s="2704">
        <v>4.8499999999999996</v>
      </c>
      <c r="E19" s="2704">
        <v>4.8499999999999996</v>
      </c>
      <c r="F19" s="2704">
        <v>5.25</v>
      </c>
      <c r="G19" s="2704">
        <v>5.25</v>
      </c>
      <c r="H19" s="2704">
        <v>5.4</v>
      </c>
      <c r="I19" s="2704">
        <v>3</v>
      </c>
      <c r="J19" s="2704">
        <v>3.5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6">
      <c r="B20" s="2704"/>
      <c r="C20" s="2705">
        <v>42135</v>
      </c>
      <c r="D20" s="2704">
        <v>5.0999999999999996</v>
      </c>
      <c r="E20" s="2704">
        <v>5.0999999999999996</v>
      </c>
      <c r="F20" s="2704">
        <v>5.5</v>
      </c>
      <c r="G20" s="2704">
        <v>5.5</v>
      </c>
      <c r="H20" s="2704">
        <v>5.65</v>
      </c>
      <c r="I20" s="2704">
        <v>3.25</v>
      </c>
      <c r="J20" s="2704">
        <v>3.75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6">
      <c r="B21" s="2704"/>
      <c r="C21" s="2705">
        <v>42064</v>
      </c>
      <c r="D21" s="2704">
        <v>5.35</v>
      </c>
      <c r="E21" s="2704">
        <v>5.35</v>
      </c>
      <c r="F21" s="2704">
        <v>5.75</v>
      </c>
      <c r="G21" s="2704">
        <v>5.75</v>
      </c>
      <c r="H21" s="2704">
        <v>5.9</v>
      </c>
      <c r="I21" s="2704"/>
      <c r="J21" s="2704"/>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6">
      <c r="B22" s="2704"/>
      <c r="C22" s="2705">
        <v>41965</v>
      </c>
      <c r="D22" s="2704">
        <v>5.6</v>
      </c>
      <c r="E22" s="2704">
        <v>5.6</v>
      </c>
      <c r="F22" s="2704">
        <v>6</v>
      </c>
      <c r="G22" s="2704">
        <v>6</v>
      </c>
      <c r="H22" s="2704">
        <v>6.15</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6">
      <c r="B23" s="2704"/>
      <c r="C23" s="2705">
        <v>41096</v>
      </c>
      <c r="D23" s="2704">
        <v>5.6</v>
      </c>
      <c r="E23" s="2704">
        <v>6</v>
      </c>
      <c r="F23" s="2704">
        <v>6.15</v>
      </c>
      <c r="G23" s="2704">
        <v>6.4</v>
      </c>
      <c r="H23" s="2704">
        <v>6.55</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6">
      <c r="B24" s="2704"/>
      <c r="C24" s="2705">
        <v>41068</v>
      </c>
      <c r="D24" s="2704">
        <v>5.85</v>
      </c>
      <c r="E24" s="2704">
        <v>6.31</v>
      </c>
      <c r="F24" s="2704">
        <v>6.4</v>
      </c>
      <c r="G24" s="2704">
        <v>6.65</v>
      </c>
      <c r="H24" s="2704">
        <v>6.8</v>
      </c>
      <c r="I24" s="2704">
        <v>4.2</v>
      </c>
      <c r="J24" s="2704">
        <v>4.7</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6">
      <c r="B25" s="2704"/>
      <c r="C25" s="2705">
        <v>40731</v>
      </c>
      <c r="D25" s="2704">
        <v>6.1</v>
      </c>
      <c r="E25" s="2704">
        <v>6.56</v>
      </c>
      <c r="F25" s="2704">
        <v>6.65</v>
      </c>
      <c r="G25" s="2704">
        <v>6.9</v>
      </c>
      <c r="H25" s="2704">
        <v>7.05</v>
      </c>
      <c r="I25" s="2704">
        <v>4.45</v>
      </c>
      <c r="J25" s="2704">
        <v>4.9000000000000004</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6">
      <c r="B26" s="2704"/>
      <c r="C26" s="2705">
        <v>40639</v>
      </c>
      <c r="D26" s="2704">
        <v>5.85</v>
      </c>
      <c r="E26" s="2704">
        <v>6.31</v>
      </c>
      <c r="F26" s="2704">
        <v>6.4</v>
      </c>
      <c r="G26" s="2704">
        <v>6.65</v>
      </c>
      <c r="H26" s="2704">
        <v>6.8</v>
      </c>
      <c r="I26" s="2704">
        <v>4.2</v>
      </c>
      <c r="J26" s="2704">
        <v>4.7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6">
      <c r="B27" s="2704"/>
      <c r="C27" s="2705">
        <v>40583</v>
      </c>
      <c r="D27" s="2704">
        <v>5.6</v>
      </c>
      <c r="E27" s="2704">
        <v>6.06</v>
      </c>
      <c r="F27" s="2704">
        <v>6.1</v>
      </c>
      <c r="G27" s="2704">
        <v>6.45</v>
      </c>
      <c r="H27" s="2704">
        <v>6.6</v>
      </c>
      <c r="I27" s="2704">
        <v>4</v>
      </c>
      <c r="J27" s="2704">
        <v>4.5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6">
      <c r="B28" s="2704"/>
      <c r="C28" s="2705">
        <v>40538</v>
      </c>
      <c r="D28" s="2704">
        <v>5.35</v>
      </c>
      <c r="E28" s="2704">
        <v>5.81</v>
      </c>
      <c r="F28" s="2704">
        <v>5.85</v>
      </c>
      <c r="G28" s="2704">
        <v>6.22</v>
      </c>
      <c r="H28" s="2704">
        <v>6.4</v>
      </c>
      <c r="I28" s="2704">
        <v>3.75</v>
      </c>
      <c r="J28" s="2704">
        <v>4.3</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6">
      <c r="B29" s="2704"/>
      <c r="C29" s="2705">
        <v>40471</v>
      </c>
      <c r="D29" s="2704">
        <v>5.0999999999999996</v>
      </c>
      <c r="E29" s="2704">
        <v>5.56</v>
      </c>
      <c r="F29" s="2704">
        <v>5.6</v>
      </c>
      <c r="G29" s="2704">
        <v>5.96</v>
      </c>
      <c r="H29" s="2704">
        <v>6.14</v>
      </c>
      <c r="I29" s="2704">
        <v>3.5</v>
      </c>
      <c r="J29" s="2704">
        <v>4.05</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6">
      <c r="B30" s="2704"/>
      <c r="C30" s="2705">
        <v>39805</v>
      </c>
      <c r="D30" s="2704">
        <v>4.8600000000000003</v>
      </c>
      <c r="E30" s="2704">
        <v>5.31</v>
      </c>
      <c r="F30" s="2704">
        <v>5.4</v>
      </c>
      <c r="G30" s="2704">
        <v>5.76</v>
      </c>
      <c r="H30" s="2704">
        <v>5.94</v>
      </c>
      <c r="I30" s="2704">
        <v>3.33</v>
      </c>
      <c r="J30" s="2704">
        <v>3.87</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6">
      <c r="B31" s="2704"/>
      <c r="C31" s="2705">
        <v>39779</v>
      </c>
      <c r="D31" s="2704">
        <v>5.04</v>
      </c>
      <c r="E31" s="2704">
        <v>5.58</v>
      </c>
      <c r="F31" s="2704">
        <v>5.67</v>
      </c>
      <c r="G31" s="2704">
        <v>5.94</v>
      </c>
      <c r="H31" s="2704">
        <v>6.12</v>
      </c>
      <c r="I31" s="2704">
        <v>3.51</v>
      </c>
      <c r="J31" s="2704">
        <v>4.05</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6">
      <c r="B32" s="2704"/>
      <c r="C32" s="2705">
        <v>39751</v>
      </c>
      <c r="D32" s="2704">
        <v>6.03</v>
      </c>
      <c r="E32" s="2704">
        <v>6.66</v>
      </c>
      <c r="F32" s="2704">
        <v>6.75</v>
      </c>
      <c r="G32" s="2704">
        <v>7.02</v>
      </c>
      <c r="H32" s="2704">
        <v>7.2</v>
      </c>
      <c r="I32" s="2704">
        <v>4.05</v>
      </c>
      <c r="J32" s="2704">
        <v>4.59</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7">
        <v>39748</v>
      </c>
      <c r="D33" s="2704">
        <v>6.12</v>
      </c>
      <c r="E33" s="2704">
        <v>6.93</v>
      </c>
      <c r="F33" s="2704">
        <v>7.02</v>
      </c>
      <c r="G33" s="2704">
        <v>7.29</v>
      </c>
      <c r="H33" s="2704">
        <v>7.47</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39730</v>
      </c>
      <c r="D34" s="2704">
        <v>6.12</v>
      </c>
      <c r="E34" s="2704">
        <v>6.93</v>
      </c>
      <c r="F34" s="2704">
        <v>7.02</v>
      </c>
      <c r="G34" s="2704">
        <v>7.29</v>
      </c>
      <c r="H34" s="2704">
        <v>7.47</v>
      </c>
      <c r="I34" s="2704">
        <v>4.32</v>
      </c>
      <c r="J34" s="2704">
        <v>4.8600000000000003</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39707</v>
      </c>
      <c r="D35" s="2704">
        <v>6.21</v>
      </c>
      <c r="E35" s="2704">
        <v>7.2</v>
      </c>
      <c r="F35" s="2704">
        <v>7.29</v>
      </c>
      <c r="G35" s="2704">
        <v>7.56</v>
      </c>
      <c r="H35" s="2704">
        <v>7.74</v>
      </c>
      <c r="I35" s="2704">
        <v>4.59</v>
      </c>
      <c r="J35" s="2704">
        <v>5.13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39437</v>
      </c>
      <c r="D36" s="2704">
        <v>6.57</v>
      </c>
      <c r="E36" s="2704">
        <v>7.47</v>
      </c>
      <c r="F36" s="2704">
        <v>7.56</v>
      </c>
      <c r="G36" s="2704">
        <v>7.74</v>
      </c>
      <c r="H36" s="2704">
        <v>7.83</v>
      </c>
      <c r="I36" s="2704">
        <v>4.7699999999999996</v>
      </c>
      <c r="J36" s="2704">
        <v>5.22</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39340</v>
      </c>
      <c r="D37" s="2704">
        <v>6.48</v>
      </c>
      <c r="E37" s="2704">
        <v>7.29</v>
      </c>
      <c r="F37" s="2704">
        <v>7.47</v>
      </c>
      <c r="G37" s="2704">
        <v>7.65</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39316</v>
      </c>
      <c r="D38" s="2704">
        <v>6.21</v>
      </c>
      <c r="E38" s="2704">
        <v>7.02</v>
      </c>
      <c r="F38" s="2704">
        <v>7.2</v>
      </c>
      <c r="G38" s="2704">
        <v>7.38</v>
      </c>
      <c r="H38" s="2704">
        <v>7.56</v>
      </c>
      <c r="I38" s="2704">
        <v>4.59</v>
      </c>
      <c r="J38" s="2704">
        <v>5.04</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39284</v>
      </c>
      <c r="D39" s="2704">
        <v>6.03</v>
      </c>
      <c r="E39" s="2704">
        <v>6.84</v>
      </c>
      <c r="F39" s="2704">
        <v>7.02</v>
      </c>
      <c r="G39" s="2704">
        <v>7.2</v>
      </c>
      <c r="H39" s="2704">
        <v>7.38</v>
      </c>
      <c r="I39" s="2704">
        <v>4.5</v>
      </c>
      <c r="J39" s="2704">
        <v>4.95</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39221</v>
      </c>
      <c r="D40" s="2704">
        <v>5.85</v>
      </c>
      <c r="E40" s="2704">
        <v>6.57</v>
      </c>
      <c r="F40" s="2704">
        <v>6.75</v>
      </c>
      <c r="G40" s="2704">
        <v>6.93</v>
      </c>
      <c r="H40" s="2704">
        <v>7.2</v>
      </c>
      <c r="I40" s="2704">
        <v>4.41</v>
      </c>
      <c r="J40" s="2704">
        <v>4.8600000000000003</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39159</v>
      </c>
      <c r="D41" s="2704">
        <v>5.67</v>
      </c>
      <c r="E41" s="2704">
        <v>6.39</v>
      </c>
      <c r="F41" s="2704">
        <v>6.57</v>
      </c>
      <c r="G41" s="2704">
        <v>6.75</v>
      </c>
      <c r="H41" s="2704">
        <v>7.11</v>
      </c>
      <c r="I41" s="2704">
        <v>4.32</v>
      </c>
      <c r="J41" s="2704">
        <v>4.7699999999999996</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38948</v>
      </c>
      <c r="D42" s="2704">
        <v>5.58</v>
      </c>
      <c r="E42" s="2704">
        <v>6.12</v>
      </c>
      <c r="F42" s="2704">
        <v>6.3</v>
      </c>
      <c r="G42" s="2704">
        <v>6.48</v>
      </c>
      <c r="H42" s="2704">
        <v>6.84</v>
      </c>
      <c r="I42" s="2704">
        <v>4.1399999999999997</v>
      </c>
      <c r="J42" s="2704">
        <v>4.59</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38835</v>
      </c>
      <c r="D43" s="2704">
        <v>5.4</v>
      </c>
      <c r="E43" s="2704">
        <v>5.85</v>
      </c>
      <c r="F43" s="2704">
        <v>6.03</v>
      </c>
      <c r="G43" s="2704">
        <v>6.12</v>
      </c>
      <c r="H43" s="2704">
        <v>6.39</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38428</v>
      </c>
      <c r="D44" s="2704">
        <v>5.22</v>
      </c>
      <c r="E44" s="2704">
        <v>5.58</v>
      </c>
      <c r="F44" s="2704">
        <v>5.76</v>
      </c>
      <c r="G44" s="2704">
        <v>5.85</v>
      </c>
      <c r="H44" s="2704">
        <v>6.12</v>
      </c>
      <c r="I44" s="2704">
        <v>3.96</v>
      </c>
      <c r="J44" s="2704">
        <v>4.41</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38289</v>
      </c>
      <c r="D45" s="2704">
        <v>5.22</v>
      </c>
      <c r="E45" s="2704">
        <v>5.58</v>
      </c>
      <c r="F45" s="2704">
        <v>5.76</v>
      </c>
      <c r="G45" s="2704">
        <v>5.85</v>
      </c>
      <c r="H45" s="2704">
        <v>6.12</v>
      </c>
      <c r="I45" s="2704">
        <v>3.78</v>
      </c>
      <c r="J45" s="2704">
        <v>4.2300000000000004</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37308</v>
      </c>
      <c r="D46" s="2704">
        <v>5.04</v>
      </c>
      <c r="E46" s="2704">
        <v>5.31</v>
      </c>
      <c r="F46" s="2704">
        <v>5.49</v>
      </c>
      <c r="G46" s="2704">
        <v>5.58</v>
      </c>
      <c r="H46" s="2704">
        <v>5.76</v>
      </c>
      <c r="I46" s="2704">
        <v>3.6</v>
      </c>
      <c r="J46" s="2704">
        <v>4.05</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36321</v>
      </c>
      <c r="D47" s="2704">
        <v>5.58</v>
      </c>
      <c r="E47" s="2704">
        <v>5.85</v>
      </c>
      <c r="F47" s="2704">
        <v>5.94</v>
      </c>
      <c r="G47" s="2704">
        <v>6.03</v>
      </c>
      <c r="H47" s="2704">
        <v>6.21</v>
      </c>
      <c r="I47" s="2704">
        <v>4.1399999999999997</v>
      </c>
      <c r="J47" s="2704">
        <v>4.59</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36136</v>
      </c>
      <c r="D48" s="2704">
        <v>6.12</v>
      </c>
      <c r="E48" s="2704">
        <v>6.39</v>
      </c>
      <c r="F48" s="2704">
        <v>6.66</v>
      </c>
      <c r="G48" s="2704">
        <v>7.2</v>
      </c>
      <c r="H48" s="2704">
        <v>7.56</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35977</v>
      </c>
      <c r="D49" s="2704">
        <v>6.57</v>
      </c>
      <c r="E49" s="2704">
        <v>6.93</v>
      </c>
      <c r="F49" s="2704">
        <v>7.11</v>
      </c>
      <c r="G49" s="2704">
        <v>7.65</v>
      </c>
      <c r="H49" s="2704">
        <v>8.01</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35879</v>
      </c>
      <c r="D50" s="2704">
        <v>7.02</v>
      </c>
      <c r="E50" s="2704">
        <v>7.92</v>
      </c>
      <c r="F50" s="2704">
        <v>9</v>
      </c>
      <c r="G50" s="2704">
        <v>9.7200000000000006</v>
      </c>
      <c r="H50" s="2704">
        <v>10.35</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35726</v>
      </c>
      <c r="D51" s="2704">
        <v>7.65</v>
      </c>
      <c r="E51" s="2704">
        <v>8.64</v>
      </c>
      <c r="F51" s="2704">
        <v>9.36</v>
      </c>
      <c r="G51" s="2704">
        <v>9.9</v>
      </c>
      <c r="H51" s="2704">
        <v>10.53</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35300</v>
      </c>
      <c r="D52" s="2704">
        <v>9.18</v>
      </c>
      <c r="E52" s="2704">
        <v>10.08</v>
      </c>
      <c r="F52" s="2704">
        <v>10.98</v>
      </c>
      <c r="G52" s="2704">
        <v>11.7</v>
      </c>
      <c r="H52" s="2704">
        <v>12.42</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35186</v>
      </c>
      <c r="D53" s="2704">
        <v>9.7200000000000006</v>
      </c>
      <c r="E53" s="2704">
        <v>10.98</v>
      </c>
      <c r="F53" s="2704">
        <v>13.14</v>
      </c>
      <c r="G53" s="2704">
        <v>14.94</v>
      </c>
      <c r="H53" s="2704">
        <v>15.12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34881</v>
      </c>
      <c r="D54" s="2704">
        <v>10.08</v>
      </c>
      <c r="E54" s="2704">
        <v>12.06</v>
      </c>
      <c r="F54" s="2704">
        <v>13.5</v>
      </c>
      <c r="G54" s="2704">
        <v>15.12</v>
      </c>
      <c r="H54" s="2704">
        <v>15.3</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34700</v>
      </c>
      <c r="D55" s="2704">
        <v>9</v>
      </c>
      <c r="E55" s="2704">
        <v>10.98</v>
      </c>
      <c r="F55" s="2704">
        <v>12.96</v>
      </c>
      <c r="G55" s="2704">
        <v>14.58</v>
      </c>
      <c r="H55" s="2704">
        <v>14.76</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34161</v>
      </c>
      <c r="D56" s="2704">
        <v>9</v>
      </c>
      <c r="E56" s="2704">
        <v>10.98</v>
      </c>
      <c r="F56" s="2704">
        <v>12.24</v>
      </c>
      <c r="G56" s="2704">
        <v>13.86</v>
      </c>
      <c r="H56" s="2704">
        <v>14.04</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34104</v>
      </c>
      <c r="D57" s="2704">
        <v>8.82</v>
      </c>
      <c r="E57" s="2704">
        <v>9.36</v>
      </c>
      <c r="F57" s="2704">
        <v>10.8</v>
      </c>
      <c r="G57" s="2704">
        <v>12.06</v>
      </c>
      <c r="H57" s="2704">
        <v>12.24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33349</v>
      </c>
      <c r="D58" s="2704">
        <v>8.1</v>
      </c>
      <c r="E58" s="2704">
        <v>8.64</v>
      </c>
      <c r="F58" s="2704">
        <v>9</v>
      </c>
      <c r="G58" s="2704">
        <v>9.5399999999999991</v>
      </c>
      <c r="H58" s="2704">
        <v>9.7200000000000006</v>
      </c>
      <c r="I58" s="2704">
        <v>0</v>
      </c>
      <c r="J58" s="2704">
        <v>0</v>
      </c>
    </row>
    <row r="59" spans="2:26">
      <c r="B59" s="2704"/>
      <c r="C59" s="2705">
        <v>33318</v>
      </c>
      <c r="D59" s="2704">
        <v>9</v>
      </c>
      <c r="E59" s="2704">
        <v>10.08</v>
      </c>
      <c r="F59" s="2704">
        <v>10.8</v>
      </c>
      <c r="G59" s="2704">
        <v>11.52</v>
      </c>
      <c r="H59" s="2704">
        <v>11.88</v>
      </c>
      <c r="I59" s="2704" t="s">
        <v>2794</v>
      </c>
      <c r="J59" s="2704" t="s">
        <v>2794</v>
      </c>
    </row>
    <row r="60" spans="2:26">
      <c r="B60" s="2704"/>
      <c r="C60" s="2705">
        <v>33106</v>
      </c>
      <c r="D60" s="2704">
        <v>8.64</v>
      </c>
      <c r="E60" s="2704">
        <v>9.36</v>
      </c>
      <c r="F60" s="2704">
        <v>10.08</v>
      </c>
      <c r="G60" s="2704">
        <v>10.8</v>
      </c>
      <c r="H60" s="2704">
        <v>11.16</v>
      </c>
      <c r="I60" s="2704">
        <v>0</v>
      </c>
      <c r="J60" s="2704">
        <v>0</v>
      </c>
    </row>
    <row r="61" spans="2:26">
      <c r="B61" s="2704"/>
      <c r="C61" s="2705">
        <v>32540</v>
      </c>
      <c r="D61" s="2704">
        <v>11.34</v>
      </c>
      <c r="E61" s="2704">
        <v>11.34</v>
      </c>
      <c r="F61" s="2704">
        <v>12.78</v>
      </c>
      <c r="G61" s="2704">
        <v>14.4</v>
      </c>
      <c r="H61" s="2704">
        <v>19.260000000000002</v>
      </c>
      <c r="I61" s="2704">
        <v>0</v>
      </c>
      <c r="J61" s="2704">
        <v>0</v>
      </c>
    </row>
    <row r="62" spans="2:26">
      <c r="B62" s="2704"/>
      <c r="C62" s="2705"/>
      <c r="D62" s="2704"/>
      <c r="E62" s="2704"/>
      <c r="F62" s="2704"/>
      <c r="G62" s="2704"/>
      <c r="H62" s="2704"/>
      <c r="I62" s="2704"/>
      <c r="J62" s="2704"/>
    </row>
    <row r="63" spans="2:26">
      <c r="B63" s="2708"/>
      <c r="C63" s="2709"/>
      <c r="D63" s="2708"/>
      <c r="E63" s="2708"/>
      <c r="F63" s="2708"/>
      <c r="G63" s="2708"/>
      <c r="H63" s="2708"/>
      <c r="I63" s="2708"/>
      <c r="J63" s="2708"/>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655"/>
      <c r="C66" s="2655"/>
      <c r="D66" s="2655"/>
      <c r="E66" s="2655"/>
      <c r="F66" s="2655"/>
      <c r="G66" s="2655"/>
      <c r="H66" s="2655"/>
      <c r="I66" s="2655"/>
      <c r="J66" s="2655"/>
    </row>
    <row r="67" spans="2:10">
      <c r="B67" s="2655"/>
      <c r="C67" s="2655"/>
      <c r="D67" s="2655"/>
      <c r="E67" s="2655"/>
      <c r="F67" s="2655"/>
      <c r="G67" s="2655"/>
      <c r="H67" s="2655"/>
      <c r="I67" s="2655"/>
      <c r="J67" s="2655"/>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1"/>
  <sheetViews>
    <sheetView workbookViewId="0">
      <selection activeCell="C37" sqref="C37"/>
    </sheetView>
  </sheetViews>
  <sheetFormatPr defaultColWidth="9" defaultRowHeight="12"/>
  <cols>
    <col min="1" max="1" width="21" style="3400" customWidth="1"/>
    <col min="2" max="2" width="12.375" style="3400" customWidth="1"/>
    <col min="3" max="3" width="13.375" style="3400" customWidth="1"/>
    <col min="4" max="4" width="9" style="3400"/>
    <col min="5" max="5" width="12.75" style="3400" customWidth="1"/>
    <col min="6" max="6" width="12.5" style="3400" customWidth="1"/>
    <col min="7" max="7" width="13.125" style="3400" customWidth="1"/>
    <col min="8" max="16384" width="9" style="3400"/>
  </cols>
  <sheetData>
    <row r="1" spans="1:10" ht="24" customHeight="1">
      <c r="A1" s="3400" t="s">
        <v>3450</v>
      </c>
    </row>
    <row r="2" spans="1:10">
      <c r="A2" s="3400" t="s">
        <v>3253</v>
      </c>
      <c r="B2" s="3400" t="s">
        <v>3254</v>
      </c>
      <c r="C2" s="3400" t="s">
        <v>3255</v>
      </c>
      <c r="D2" s="3400" t="s">
        <v>3256</v>
      </c>
      <c r="E2" s="3400" t="s">
        <v>3257</v>
      </c>
      <c r="F2" s="3400" t="s">
        <v>3258</v>
      </c>
      <c r="G2" s="3400" t="s">
        <v>3456</v>
      </c>
      <c r="H2" s="3400" t="s">
        <v>3260</v>
      </c>
      <c r="I2" s="3400" t="s">
        <v>3261</v>
      </c>
      <c r="J2" s="3400" t="s">
        <v>3262</v>
      </c>
    </row>
    <row r="3" spans="1:10">
      <c r="A3" s="3400" t="s">
        <v>3263</v>
      </c>
      <c r="B3" s="3400" t="s">
        <v>3264</v>
      </c>
      <c r="C3" s="3400" t="s">
        <v>3265</v>
      </c>
      <c r="D3" s="3400" t="s">
        <v>3266</v>
      </c>
      <c r="E3" s="3400" t="s">
        <v>3267</v>
      </c>
      <c r="F3" s="3400" t="s">
        <v>3268</v>
      </c>
      <c r="G3" s="3400" t="s">
        <v>3269</v>
      </c>
      <c r="H3" s="3400" t="s">
        <v>3270</v>
      </c>
      <c r="I3" s="3400" t="s">
        <v>3271</v>
      </c>
      <c r="J3" s="3400" t="s">
        <v>3272</v>
      </c>
    </row>
    <row r="4" spans="1:10">
      <c r="A4" s="3400" t="s">
        <v>3273</v>
      </c>
      <c r="B4" s="3400" t="s">
        <v>3264</v>
      </c>
      <c r="C4" s="3400" t="s">
        <v>3274</v>
      </c>
      <c r="D4" s="3400" t="s">
        <v>3275</v>
      </c>
      <c r="E4" s="3400" t="s">
        <v>3276</v>
      </c>
      <c r="F4" s="3400" t="s">
        <v>3277</v>
      </c>
      <c r="G4" s="3400" t="s">
        <v>3278</v>
      </c>
      <c r="H4" s="3400" t="s">
        <v>3279</v>
      </c>
      <c r="I4" s="3400" t="s">
        <v>3280</v>
      </c>
      <c r="J4" s="3400" t="s">
        <v>3281</v>
      </c>
    </row>
    <row r="5" spans="1:10">
      <c r="A5" s="3400" t="s">
        <v>3282</v>
      </c>
      <c r="B5" s="3400" t="s">
        <v>3264</v>
      </c>
      <c r="C5" s="3400" t="s">
        <v>3265</v>
      </c>
      <c r="D5" s="3400" t="s">
        <v>2794</v>
      </c>
      <c r="E5" s="3400" t="s">
        <v>3283</v>
      </c>
      <c r="F5" s="3400" t="s">
        <v>3284</v>
      </c>
      <c r="G5" s="3400" t="s">
        <v>3285</v>
      </c>
      <c r="H5" s="3400" t="s">
        <v>3286</v>
      </c>
      <c r="I5" s="3400" t="s">
        <v>3287</v>
      </c>
      <c r="J5" s="3400" t="s">
        <v>3288</v>
      </c>
    </row>
    <row r="6" spans="1:10">
      <c r="A6" s="3400" t="s">
        <v>3251</v>
      </c>
      <c r="B6" s="3400" t="s">
        <v>3264</v>
      </c>
      <c r="C6" s="3400" t="s">
        <v>3289</v>
      </c>
      <c r="D6" s="3400" t="s">
        <v>3290</v>
      </c>
      <c r="E6" s="3400" t="s">
        <v>3291</v>
      </c>
      <c r="F6" s="3400" t="s">
        <v>3292</v>
      </c>
      <c r="G6" s="3400" t="s">
        <v>3293</v>
      </c>
      <c r="H6" s="3400" t="s">
        <v>3294</v>
      </c>
      <c r="I6" s="3400" t="s">
        <v>3295</v>
      </c>
      <c r="J6" s="3400" t="s">
        <v>3296</v>
      </c>
    </row>
    <row r="7" spans="1:10">
      <c r="A7" s="3400" t="s">
        <v>3297</v>
      </c>
      <c r="B7" s="3400" t="s">
        <v>3264</v>
      </c>
      <c r="C7" s="3400" t="s">
        <v>3274</v>
      </c>
      <c r="D7" s="3400" t="s">
        <v>2794</v>
      </c>
      <c r="E7" s="3400" t="s">
        <v>3298</v>
      </c>
      <c r="F7" s="3400" t="s">
        <v>3299</v>
      </c>
      <c r="G7" s="3400" t="s">
        <v>3300</v>
      </c>
      <c r="H7" s="3400" t="s">
        <v>3301</v>
      </c>
      <c r="I7" s="3400" t="s">
        <v>3302</v>
      </c>
      <c r="J7" s="3400" t="s">
        <v>3303</v>
      </c>
    </row>
    <row r="8" spans="1:10">
      <c r="A8" s="3400" t="s">
        <v>3304</v>
      </c>
      <c r="B8" s="3400" t="s">
        <v>3264</v>
      </c>
      <c r="C8" s="3400" t="s">
        <v>3265</v>
      </c>
      <c r="D8" s="3400" t="s">
        <v>2794</v>
      </c>
      <c r="E8" s="3400" t="s">
        <v>3298</v>
      </c>
      <c r="F8" s="3400" t="s">
        <v>3305</v>
      </c>
      <c r="G8" s="3400" t="s">
        <v>3306</v>
      </c>
      <c r="H8" s="3400" t="s">
        <v>3307</v>
      </c>
      <c r="I8" s="3400" t="s">
        <v>3308</v>
      </c>
      <c r="J8" s="3400" t="s">
        <v>3309</v>
      </c>
    </row>
    <row r="9" spans="1:10">
      <c r="A9" s="3400" t="s">
        <v>3310</v>
      </c>
      <c r="B9" s="3400" t="s">
        <v>3264</v>
      </c>
      <c r="C9" s="3400" t="s">
        <v>3311</v>
      </c>
      <c r="D9" s="3400" t="s">
        <v>3312</v>
      </c>
      <c r="E9" s="3400" t="s">
        <v>3313</v>
      </c>
      <c r="F9" s="3400" t="s">
        <v>3314</v>
      </c>
      <c r="G9" s="3400" t="s">
        <v>3315</v>
      </c>
      <c r="H9" s="3400" t="s">
        <v>3316</v>
      </c>
      <c r="I9" s="3400" t="s">
        <v>3317</v>
      </c>
      <c r="J9" s="3400" t="s">
        <v>3267</v>
      </c>
    </row>
    <row r="10" spans="1:10">
      <c r="A10" s="3400" t="s">
        <v>3318</v>
      </c>
      <c r="B10" s="3400" t="s">
        <v>3264</v>
      </c>
      <c r="C10" s="3400" t="s">
        <v>3265</v>
      </c>
      <c r="D10" s="3400" t="s">
        <v>3319</v>
      </c>
      <c r="E10" s="3400" t="s">
        <v>3313</v>
      </c>
      <c r="F10" s="3400" t="s">
        <v>3320</v>
      </c>
      <c r="G10" s="3400" t="s">
        <v>3321</v>
      </c>
      <c r="H10" s="3400" t="s">
        <v>3322</v>
      </c>
      <c r="I10" s="3400" t="s">
        <v>3323</v>
      </c>
      <c r="J10" s="3400" t="s">
        <v>3324</v>
      </c>
    </row>
    <row r="11" spans="1:10">
      <c r="A11" s="3400" t="s">
        <v>3325</v>
      </c>
      <c r="B11" s="3400" t="s">
        <v>3264</v>
      </c>
      <c r="C11" s="3400" t="s">
        <v>3265</v>
      </c>
      <c r="D11" s="3400" t="s">
        <v>2794</v>
      </c>
      <c r="E11" s="3400" t="s">
        <v>3326</v>
      </c>
      <c r="F11" s="3400" t="s">
        <v>3327</v>
      </c>
      <c r="G11" s="3400" t="s">
        <v>3328</v>
      </c>
      <c r="H11" s="3400" t="s">
        <v>3329</v>
      </c>
      <c r="I11" s="3400" t="s">
        <v>3330</v>
      </c>
      <c r="J11" s="3400" t="s">
        <v>3331</v>
      </c>
    </row>
    <row r="12" spans="1:10">
      <c r="A12" s="3400" t="s">
        <v>3332</v>
      </c>
      <c r="B12" s="3400" t="s">
        <v>3264</v>
      </c>
      <c r="C12" s="3400" t="s">
        <v>3274</v>
      </c>
      <c r="D12" s="3400" t="s">
        <v>3333</v>
      </c>
      <c r="E12" s="3400" t="s">
        <v>3334</v>
      </c>
      <c r="F12" s="3400" t="s">
        <v>3335</v>
      </c>
      <c r="G12" s="3400" t="s">
        <v>3336</v>
      </c>
      <c r="H12" s="3400" t="s">
        <v>3337</v>
      </c>
      <c r="I12" s="3400" t="s">
        <v>3337</v>
      </c>
      <c r="J12" s="3400" t="s">
        <v>3335</v>
      </c>
    </row>
    <row r="13" spans="1:10">
      <c r="A13" s="3400" t="s">
        <v>3338</v>
      </c>
      <c r="B13" s="3400" t="s">
        <v>3264</v>
      </c>
      <c r="C13" s="3400" t="s">
        <v>3265</v>
      </c>
      <c r="D13" s="3400" t="s">
        <v>3339</v>
      </c>
      <c r="E13" s="3400" t="s">
        <v>3334</v>
      </c>
      <c r="F13" s="3400" t="s">
        <v>3340</v>
      </c>
      <c r="G13" s="3400" t="s">
        <v>3341</v>
      </c>
      <c r="H13" s="3400" t="s">
        <v>3342</v>
      </c>
      <c r="I13" s="3400" t="s">
        <v>3342</v>
      </c>
      <c r="J13" s="3400" t="s">
        <v>3340</v>
      </c>
    </row>
    <row r="14" spans="1:10">
      <c r="A14" s="3400" t="s">
        <v>3343</v>
      </c>
      <c r="B14" s="3400" t="s">
        <v>3264</v>
      </c>
      <c r="C14" s="3400" t="s">
        <v>3265</v>
      </c>
      <c r="D14" s="3400" t="s">
        <v>2794</v>
      </c>
      <c r="E14" s="3400" t="s">
        <v>3334</v>
      </c>
      <c r="F14" s="3400" t="s">
        <v>3344</v>
      </c>
      <c r="G14" s="3400" t="s">
        <v>3345</v>
      </c>
      <c r="H14" s="3400" t="s">
        <v>3346</v>
      </c>
      <c r="I14" s="3400" t="s">
        <v>3346</v>
      </c>
      <c r="J14" s="3400" t="s">
        <v>3344</v>
      </c>
    </row>
    <row r="15" spans="1:10">
      <c r="A15" s="3400" t="s">
        <v>3347</v>
      </c>
      <c r="B15" s="3400" t="s">
        <v>3264</v>
      </c>
      <c r="C15" s="3400" t="s">
        <v>3274</v>
      </c>
      <c r="D15" s="3400" t="s">
        <v>3348</v>
      </c>
      <c r="E15" s="3400" t="s">
        <v>3334</v>
      </c>
      <c r="F15" s="3400" t="s">
        <v>3349</v>
      </c>
      <c r="G15" s="3400" t="s">
        <v>3350</v>
      </c>
      <c r="H15" s="3400" t="s">
        <v>3351</v>
      </c>
      <c r="I15" s="3400" t="s">
        <v>3351</v>
      </c>
      <c r="J15" s="3400" t="s">
        <v>3349</v>
      </c>
    </row>
    <row r="17" spans="1:8">
      <c r="A17" s="3402" t="s">
        <v>3451</v>
      </c>
      <c r="B17" s="3400" t="s">
        <v>3457</v>
      </c>
      <c r="C17" s="3400" t="s">
        <v>3463</v>
      </c>
      <c r="D17" s="3400" t="s">
        <v>3462</v>
      </c>
      <c r="E17" s="3400" t="s">
        <v>3461</v>
      </c>
      <c r="F17" s="3400" t="s">
        <v>3463</v>
      </c>
      <c r="G17" s="3400" t="s">
        <v>3462</v>
      </c>
      <c r="H17" s="3400" t="s">
        <v>3471</v>
      </c>
    </row>
    <row r="18" spans="1:8" ht="24">
      <c r="A18" s="3400" t="s">
        <v>3452</v>
      </c>
      <c r="B18" s="3400" t="s">
        <v>3455</v>
      </c>
      <c r="C18" s="3401" t="s">
        <v>3459</v>
      </c>
      <c r="D18" s="3400" t="s">
        <v>3458</v>
      </c>
      <c r="E18" s="3400" t="s">
        <v>3460</v>
      </c>
      <c r="F18" s="3401" t="s">
        <v>3464</v>
      </c>
      <c r="G18" s="3400" t="s">
        <v>3465</v>
      </c>
    </row>
    <row r="19" spans="1:8">
      <c r="A19" s="3400" t="s">
        <v>3453</v>
      </c>
      <c r="B19" s="3400" t="s">
        <v>3467</v>
      </c>
      <c r="C19" s="3400" t="s">
        <v>3466</v>
      </c>
      <c r="D19" s="3400" t="s">
        <v>3468</v>
      </c>
      <c r="E19" s="3400" t="s">
        <v>3467</v>
      </c>
      <c r="F19" s="3400" t="s">
        <v>3469</v>
      </c>
      <c r="G19" s="3400" t="s">
        <v>3468</v>
      </c>
      <c r="H19" s="3400" t="s">
        <v>3472</v>
      </c>
    </row>
    <row r="20" spans="1:8">
      <c r="A20" s="3400" t="s">
        <v>3454</v>
      </c>
      <c r="B20" s="3400">
        <v>22000</v>
      </c>
      <c r="C20" s="3401" t="s">
        <v>3470</v>
      </c>
      <c r="D20" s="3400" t="s">
        <v>3468</v>
      </c>
    </row>
    <row r="21" spans="1:8">
      <c r="A21" s="3400" t="s">
        <v>3498</v>
      </c>
      <c r="B21" s="3400" t="s">
        <v>3499</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15"/>
  <sheetViews>
    <sheetView workbookViewId="0">
      <selection activeCell="A170" sqref="A170"/>
    </sheetView>
  </sheetViews>
  <sheetFormatPr defaultColWidth="9" defaultRowHeight="12"/>
  <cols>
    <col min="1" max="1" width="17.25" style="3383" customWidth="1"/>
    <col min="2" max="6" width="9" style="3383"/>
    <col min="7" max="7" width="16" style="3383" customWidth="1"/>
    <col min="8" max="16384" width="9" style="3383"/>
  </cols>
  <sheetData>
    <row r="1" spans="1:10">
      <c r="A1" s="3383" t="s">
        <v>3253</v>
      </c>
      <c r="B1" s="3383" t="s">
        <v>3254</v>
      </c>
      <c r="C1" s="3383" t="s">
        <v>3255</v>
      </c>
      <c r="D1" s="3383" t="s">
        <v>3256</v>
      </c>
      <c r="E1" s="3383" t="s">
        <v>3257</v>
      </c>
      <c r="F1" s="3383" t="s">
        <v>3258</v>
      </c>
      <c r="G1" s="3383" t="s">
        <v>3259</v>
      </c>
      <c r="H1" s="3383" t="s">
        <v>3260</v>
      </c>
      <c r="I1" s="3383" t="s">
        <v>3261</v>
      </c>
      <c r="J1" s="3383" t="s">
        <v>3262</v>
      </c>
    </row>
    <row r="2" spans="1:10">
      <c r="A2" s="3383" t="s">
        <v>3310</v>
      </c>
      <c r="B2" s="3383" t="s">
        <v>3264</v>
      </c>
      <c r="C2" s="3383" t="s">
        <v>3311</v>
      </c>
      <c r="D2" s="3383" t="s">
        <v>3312</v>
      </c>
      <c r="E2" s="3383" t="s">
        <v>3352</v>
      </c>
      <c r="F2" s="3383" t="s">
        <v>3353</v>
      </c>
      <c r="G2" s="3383" t="s">
        <v>3354</v>
      </c>
      <c r="H2" s="3383" t="s">
        <v>3355</v>
      </c>
      <c r="I2" s="3383" t="s">
        <v>3356</v>
      </c>
      <c r="J2" s="3383" t="s">
        <v>3357</v>
      </c>
    </row>
    <row r="3" spans="1:10">
      <c r="A3" s="3383" t="s">
        <v>3430</v>
      </c>
      <c r="B3" s="3383" t="s">
        <v>3264</v>
      </c>
      <c r="C3" s="3383" t="s">
        <v>3265</v>
      </c>
      <c r="D3" s="3383" t="s">
        <v>3266</v>
      </c>
      <c r="E3" s="3383" t="s">
        <v>3358</v>
      </c>
      <c r="F3" s="3383" t="s">
        <v>3359</v>
      </c>
      <c r="G3" s="3383" t="s">
        <v>3360</v>
      </c>
      <c r="H3" s="3383" t="s">
        <v>3361</v>
      </c>
      <c r="I3" s="3383" t="s">
        <v>3362</v>
      </c>
      <c r="J3" s="3383" t="s">
        <v>3363</v>
      </c>
    </row>
    <row r="4" spans="1:10">
      <c r="A4" s="3383" t="s">
        <v>3318</v>
      </c>
      <c r="B4" s="3383" t="s">
        <v>3264</v>
      </c>
      <c r="C4" s="3383" t="s">
        <v>3265</v>
      </c>
      <c r="D4" s="3383" t="s">
        <v>3319</v>
      </c>
      <c r="E4" s="3383" t="s">
        <v>3298</v>
      </c>
      <c r="F4" s="3383" t="s">
        <v>3364</v>
      </c>
      <c r="G4" s="3383" t="s">
        <v>3365</v>
      </c>
      <c r="H4" s="3383" t="s">
        <v>3366</v>
      </c>
      <c r="I4" s="3383" t="s">
        <v>3367</v>
      </c>
      <c r="J4" s="3383" t="s">
        <v>3368</v>
      </c>
    </row>
    <row r="5" spans="1:10">
      <c r="A5" s="3383" t="s">
        <v>3297</v>
      </c>
      <c r="B5" s="3383" t="s">
        <v>3264</v>
      </c>
      <c r="C5" s="3383" t="s">
        <v>3274</v>
      </c>
      <c r="D5" s="3383" t="s">
        <v>2794</v>
      </c>
      <c r="E5" s="3383" t="s">
        <v>3369</v>
      </c>
      <c r="F5" s="3383" t="s">
        <v>3370</v>
      </c>
      <c r="G5" s="3383" t="s">
        <v>3371</v>
      </c>
      <c r="H5" s="3383" t="s">
        <v>3372</v>
      </c>
      <c r="I5" s="3383" t="s">
        <v>3373</v>
      </c>
      <c r="J5" s="3383" t="s">
        <v>3374</v>
      </c>
    </row>
    <row r="6" spans="1:10">
      <c r="A6" s="3383" t="s">
        <v>3375</v>
      </c>
      <c r="B6" s="3383" t="s">
        <v>3264</v>
      </c>
      <c r="C6" s="3383" t="s">
        <v>3289</v>
      </c>
      <c r="D6" s="3383" t="s">
        <v>3348</v>
      </c>
      <c r="E6" s="3383" t="s">
        <v>3369</v>
      </c>
      <c r="F6" s="3383" t="s">
        <v>3376</v>
      </c>
      <c r="G6" s="3383" t="s">
        <v>3377</v>
      </c>
      <c r="H6" s="3383" t="s">
        <v>3378</v>
      </c>
      <c r="I6" s="3383" t="s">
        <v>3379</v>
      </c>
      <c r="J6" s="3383" t="s">
        <v>3380</v>
      </c>
    </row>
    <row r="7" spans="1:10">
      <c r="A7" s="3383" t="s">
        <v>3381</v>
      </c>
      <c r="B7" s="3383" t="s">
        <v>3264</v>
      </c>
      <c r="C7" s="3383" t="s">
        <v>3265</v>
      </c>
      <c r="D7" s="3383" t="s">
        <v>3382</v>
      </c>
      <c r="E7" s="3383" t="s">
        <v>3313</v>
      </c>
      <c r="F7" s="3383" t="s">
        <v>3383</v>
      </c>
      <c r="G7" s="3383" t="s">
        <v>3384</v>
      </c>
      <c r="H7" s="3383" t="s">
        <v>3385</v>
      </c>
      <c r="I7" s="3383" t="s">
        <v>3386</v>
      </c>
      <c r="J7" s="3383" t="s">
        <v>3387</v>
      </c>
    </row>
    <row r="8" spans="1:10">
      <c r="A8" s="3383" t="s">
        <v>3388</v>
      </c>
      <c r="B8" s="3383" t="s">
        <v>3264</v>
      </c>
      <c r="C8" s="3383" t="s">
        <v>3289</v>
      </c>
      <c r="D8" s="3383" t="s">
        <v>3389</v>
      </c>
      <c r="E8" s="3383" t="s">
        <v>3313</v>
      </c>
      <c r="F8" s="3383" t="s">
        <v>3390</v>
      </c>
      <c r="G8" s="3383" t="s">
        <v>3391</v>
      </c>
      <c r="H8" s="3383" t="s">
        <v>3392</v>
      </c>
      <c r="I8" s="3383" t="s">
        <v>3393</v>
      </c>
      <c r="J8" s="3383" t="s">
        <v>3394</v>
      </c>
    </row>
    <row r="9" spans="1:10">
      <c r="A9" s="3383" t="s">
        <v>3395</v>
      </c>
      <c r="B9" s="3383" t="s">
        <v>3264</v>
      </c>
      <c r="C9" s="3383" t="s">
        <v>3265</v>
      </c>
      <c r="D9" s="3383" t="s">
        <v>2794</v>
      </c>
      <c r="E9" s="3383" t="s">
        <v>3326</v>
      </c>
      <c r="F9" s="3383" t="s">
        <v>3396</v>
      </c>
      <c r="G9" s="3383" t="s">
        <v>3397</v>
      </c>
      <c r="H9" s="3383" t="s">
        <v>3398</v>
      </c>
      <c r="I9" s="3383" t="s">
        <v>3399</v>
      </c>
      <c r="J9" s="3383" t="s">
        <v>3400</v>
      </c>
    </row>
    <row r="10" spans="1:10">
      <c r="A10" s="3383" t="s">
        <v>3428</v>
      </c>
      <c r="B10" s="3383" t="s">
        <v>3264</v>
      </c>
      <c r="C10" s="3383" t="s">
        <v>3274</v>
      </c>
      <c r="D10" s="3383" t="s">
        <v>3348</v>
      </c>
      <c r="E10" s="3383" t="s">
        <v>3326</v>
      </c>
      <c r="F10" s="3383" t="s">
        <v>3281</v>
      </c>
      <c r="G10" s="3383" t="s">
        <v>3401</v>
      </c>
      <c r="H10" s="3383" t="s">
        <v>3402</v>
      </c>
      <c r="I10" s="3383" t="s">
        <v>3403</v>
      </c>
      <c r="J10" s="3383" t="s">
        <v>3404</v>
      </c>
    </row>
    <row r="11" spans="1:10">
      <c r="A11" s="3383" t="s">
        <v>3405</v>
      </c>
      <c r="B11" s="3383" t="s">
        <v>3264</v>
      </c>
      <c r="C11" s="3383" t="s">
        <v>2794</v>
      </c>
      <c r="D11" s="3383" t="s">
        <v>2794</v>
      </c>
      <c r="E11" s="3383" t="s">
        <v>3334</v>
      </c>
      <c r="F11" s="3383" t="s">
        <v>3406</v>
      </c>
      <c r="G11" s="3383" t="s">
        <v>3407</v>
      </c>
      <c r="H11" s="3383" t="s">
        <v>3408</v>
      </c>
      <c r="I11" s="3383" t="s">
        <v>3408</v>
      </c>
      <c r="J11" s="3383" t="s">
        <v>3406</v>
      </c>
    </row>
    <row r="12" spans="1:10">
      <c r="A12" s="3383" t="s">
        <v>3409</v>
      </c>
      <c r="B12" s="3383" t="s">
        <v>3264</v>
      </c>
      <c r="C12" s="3383" t="s">
        <v>3410</v>
      </c>
      <c r="D12" s="3383" t="s">
        <v>3411</v>
      </c>
      <c r="E12" s="3383" t="s">
        <v>3334</v>
      </c>
      <c r="F12" s="3383" t="s">
        <v>3412</v>
      </c>
      <c r="G12" s="3383" t="s">
        <v>3413</v>
      </c>
      <c r="H12" s="3383" t="s">
        <v>3414</v>
      </c>
      <c r="I12" s="3383" t="s">
        <v>3414</v>
      </c>
      <c r="J12" s="3383" t="s">
        <v>3412</v>
      </c>
    </row>
    <row r="13" spans="1:10" s="3384" customFormat="1">
      <c r="A13" s="3384" t="s">
        <v>3427</v>
      </c>
      <c r="B13" s="3384" t="s">
        <v>3264</v>
      </c>
      <c r="C13" s="3384" t="s">
        <v>3265</v>
      </c>
      <c r="D13" s="3384" t="s">
        <v>3415</v>
      </c>
      <c r="E13" s="3384" t="s">
        <v>3334</v>
      </c>
      <c r="F13" s="3384" t="s">
        <v>3416</v>
      </c>
      <c r="G13" s="3384" t="s">
        <v>3417</v>
      </c>
      <c r="H13" s="3384" t="s">
        <v>3418</v>
      </c>
      <c r="I13" s="3384" t="s">
        <v>3418</v>
      </c>
      <c r="J13" s="3384" t="s">
        <v>3416</v>
      </c>
    </row>
    <row r="14" spans="1:10">
      <c r="A14" s="3383" t="s">
        <v>3419</v>
      </c>
      <c r="B14" s="3383" t="s">
        <v>3264</v>
      </c>
      <c r="C14" s="3383" t="s">
        <v>3265</v>
      </c>
      <c r="D14" s="3383" t="s">
        <v>3420</v>
      </c>
      <c r="E14" s="3383" t="s">
        <v>3334</v>
      </c>
      <c r="F14" s="3383" t="s">
        <v>3421</v>
      </c>
      <c r="G14" s="3383" t="s">
        <v>3422</v>
      </c>
      <c r="H14" s="3383" t="s">
        <v>3423</v>
      </c>
      <c r="I14" s="3383" t="s">
        <v>3423</v>
      </c>
      <c r="J14" s="3383" t="s">
        <v>3421</v>
      </c>
    </row>
    <row r="15" spans="1:10" s="3384" customFormat="1">
      <c r="A15" s="3384" t="s">
        <v>3251</v>
      </c>
      <c r="B15" s="3384" t="s">
        <v>3264</v>
      </c>
      <c r="C15" s="3384" t="s">
        <v>3289</v>
      </c>
      <c r="D15" s="3384" t="s">
        <v>3290</v>
      </c>
      <c r="E15" s="3384" t="s">
        <v>3334</v>
      </c>
      <c r="F15" s="3384" t="s">
        <v>3424</v>
      </c>
      <c r="G15" s="3384" t="s">
        <v>3425</v>
      </c>
      <c r="H15" s="3384" t="s">
        <v>3426</v>
      </c>
      <c r="I15" s="3384" t="s">
        <v>3426</v>
      </c>
      <c r="J15" s="3384" t="s">
        <v>3424</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F9"/>
  <sheetViews>
    <sheetView topLeftCell="A79" workbookViewId="0">
      <selection activeCell="H54" sqref="H54"/>
    </sheetView>
  </sheetViews>
  <sheetFormatPr defaultRowHeight="13.5"/>
  <sheetData>
    <row r="9" spans="6:6">
      <c r="F9" s="3245"/>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4" t="s">
        <v>2025</v>
      </c>
      <c r="B1" s="3474"/>
      <c r="C1" s="3474"/>
      <c r="D1" s="3474"/>
      <c r="E1" s="3474"/>
      <c r="F1" s="3474"/>
      <c r="G1" s="3474"/>
      <c r="H1" s="3474"/>
      <c r="I1" s="3474"/>
      <c r="J1" s="3474"/>
      <c r="K1" s="3474"/>
      <c r="L1" s="3474"/>
      <c r="M1" s="3474"/>
      <c r="N1" s="3474"/>
      <c r="O1" s="3474"/>
      <c r="P1" s="3474"/>
      <c r="Q1" s="3474"/>
      <c r="R1" s="3474"/>
    </row>
    <row r="2" spans="1:18">
      <c r="A2" s="1719" t="s">
        <v>2027</v>
      </c>
      <c r="B2" s="1719"/>
      <c r="C2" s="1719"/>
      <c r="D2" s="1719"/>
      <c r="E2" s="1719"/>
      <c r="F2" s="1719"/>
      <c r="G2" s="1719"/>
      <c r="H2" s="1719"/>
      <c r="I2" s="1720"/>
      <c r="J2" s="1720"/>
      <c r="K2" s="1721" t="str">
        <f>"估价期日："&amp;TEXT(项目基本情况!D3,"yyyy年m月d日;;")</f>
        <v>估价期日：2021年6月30日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75" t="s">
        <v>2016</v>
      </c>
      <c r="B3" s="3475" t="s">
        <v>2708</v>
      </c>
      <c r="C3" s="3476" t="s">
        <v>2017</v>
      </c>
      <c r="D3" s="3475" t="s">
        <v>2712</v>
      </c>
      <c r="E3" s="3478" t="s">
        <v>2018</v>
      </c>
      <c r="F3" s="3478"/>
      <c r="G3" s="3478"/>
      <c r="H3" s="3478" t="s">
        <v>2019</v>
      </c>
      <c r="I3" s="3478"/>
      <c r="J3" s="3478"/>
      <c r="K3" s="3476" t="s">
        <v>2020</v>
      </c>
      <c r="L3" s="3476" t="s">
        <v>2021</v>
      </c>
      <c r="M3" s="3475" t="s">
        <v>2709</v>
      </c>
      <c r="N3" s="3477" t="str">
        <f>"（分摊）"&amp;项目基本情况!B16&amp;"国有建设用地使用权面积/㎡"</f>
        <v>（分摊）出让国有建设用地使用权面积/㎡</v>
      </c>
      <c r="O3" s="3475" t="s">
        <v>2050</v>
      </c>
      <c r="P3" s="3476" t="s">
        <v>2030</v>
      </c>
      <c r="Q3" s="3476" t="s">
        <v>2051</v>
      </c>
      <c r="R3" s="3476" t="s">
        <v>2022</v>
      </c>
    </row>
    <row r="4" spans="1:18" ht="36.75" customHeight="1">
      <c r="A4" s="3475"/>
      <c r="B4" s="3475"/>
      <c r="C4" s="3476"/>
      <c r="D4" s="3475"/>
      <c r="E4" s="2488" t="s">
        <v>2029</v>
      </c>
      <c r="F4" s="2488" t="s">
        <v>2721</v>
      </c>
      <c r="G4" s="2488" t="s">
        <v>2023</v>
      </c>
      <c r="H4" s="2488" t="s">
        <v>2024</v>
      </c>
      <c r="I4" s="2488" t="s">
        <v>2722</v>
      </c>
      <c r="J4" s="2488" t="s">
        <v>2023</v>
      </c>
      <c r="K4" s="3476"/>
      <c r="L4" s="3476"/>
      <c r="M4" s="3475"/>
      <c r="N4" s="3477"/>
      <c r="O4" s="3475"/>
      <c r="P4" s="3476"/>
      <c r="Q4" s="3476"/>
      <c r="R4" s="3476"/>
    </row>
    <row r="5" spans="1:18" ht="135" customHeight="1">
      <c r="A5" s="1854" t="s">
        <v>2632</v>
      </c>
      <c r="B5" s="2581" t="s">
        <v>2630</v>
      </c>
      <c r="C5" s="2487">
        <v>22</v>
      </c>
      <c r="D5" s="2486" t="s">
        <v>2631</v>
      </c>
      <c r="E5" s="1722" t="str">
        <f>项目基本情况!B12</f>
        <v>商业服务用地</v>
      </c>
      <c r="F5" s="2486">
        <v>258</v>
      </c>
      <c r="G5" s="1722" t="str">
        <f>项目基本情况!B13</f>
        <v>商业、办公、地下车库</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t="str">
        <f>IF(项目基本情况!B16="出让",项目基本情况!D20,"——")</f>
        <v>商业36.45年、办公36.45年、地下车库36.45年</v>
      </c>
      <c r="N5" s="1722">
        <f>项目基本情况!C22</f>
        <v>19463.21</v>
      </c>
      <c r="O5" s="1722">
        <f>项目基本情况!C21</f>
        <v>197089.87</v>
      </c>
      <c r="P5" s="1722">
        <f ca="1">结果表!E42</f>
        <v>64554</v>
      </c>
      <c r="Q5" s="1722">
        <f ca="1">结果表!D42</f>
        <v>6375</v>
      </c>
      <c r="R5" s="1723">
        <f ca="1">结果表!C42</f>
        <v>125643</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1724">
        <f ca="1">结果表!O39</f>
        <v>125643</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1724" t="str">
        <f>结果表!O40</f>
        <v>——</v>
      </c>
    </row>
    <row r="8" spans="1:18">
      <c r="A8" s="3479" t="str">
        <f>IF(项目基本情况!B9="市场价格","——",项目基本情况!E9)</f>
        <v>抵押净值</v>
      </c>
      <c r="B8" s="3480"/>
      <c r="C8" s="3480"/>
      <c r="D8" s="3480"/>
      <c r="E8" s="3480"/>
      <c r="F8" s="3480"/>
      <c r="G8" s="3480"/>
      <c r="H8" s="3480"/>
      <c r="I8" s="3480"/>
      <c r="J8" s="3480"/>
      <c r="K8" s="3480"/>
      <c r="L8" s="3480"/>
      <c r="M8" s="3480"/>
      <c r="N8" s="3480"/>
      <c r="O8" s="3480"/>
      <c r="P8" s="3480"/>
      <c r="Q8" s="3481"/>
      <c r="R8" s="1724">
        <f ca="1">结果表!O41</f>
        <v>115856</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I59" sqref="I59"/>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4:A37"/>
  <sheetViews>
    <sheetView topLeftCell="A22" workbookViewId="0">
      <selection activeCell="A33" sqref="A33:B36"/>
    </sheetView>
  </sheetViews>
  <sheetFormatPr defaultRowHeight="13.5"/>
  <sheetData>
    <row r="34" spans="1:1">
      <c r="A34" s="3405" t="s">
        <v>3501</v>
      </c>
    </row>
    <row r="37" spans="1:1">
      <c r="A37" s="3405" t="s">
        <v>3502</v>
      </c>
    </row>
  </sheetData>
  <phoneticPr fontId="228" type="noConversion"/>
  <hyperlinks>
    <hyperlink ref="A34" r:id="rId1" xr:uid="{00000000-0004-0000-3200-000000000000}"/>
    <hyperlink ref="A37" r:id="rId2" xr:uid="{00000000-0004-0000-3200-000001000000}"/>
  </hyperlinks>
  <pageMargins left="0.7" right="0.7" top="0.75" bottom="0.75" header="0.3" footer="0.3"/>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83" t="s">
        <v>2052</v>
      </c>
      <c r="B1" s="3483"/>
      <c r="C1" s="3483"/>
      <c r="D1" s="3483"/>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3"/>
      <c r="C3" s="3483"/>
      <c r="D3" s="3483"/>
    </row>
    <row r="4" spans="1:4" ht="36.75" customHeight="1">
      <c r="A4" s="3483" t="str">
        <f>"3.估价规划限制条件：详见"&amp;项目基本情况!E21&amp;"。"</f>
        <v>3.估价规划限制条件：详见《国有建设用地使用权出让合同》[电子监管号：4201002017B23616]及附件、《建设工程规划许可证》[武规建（2019）082号]。</v>
      </c>
      <c r="B4" s="3483"/>
      <c r="C4" s="3483"/>
      <c r="D4" s="3483"/>
    </row>
    <row r="5" spans="1:4">
      <c r="A5" s="3482" t="s">
        <v>2053</v>
      </c>
      <c r="B5" s="3482"/>
      <c r="C5" s="3482"/>
      <c r="D5" s="3482"/>
    </row>
    <row r="6" spans="1:4">
      <c r="A6" s="3483" t="s">
        <v>2031</v>
      </c>
      <c r="B6" s="3483"/>
      <c r="C6" s="3483"/>
      <c r="D6" s="3483"/>
    </row>
    <row r="7" spans="1:4" ht="33" customHeight="1">
      <c r="A7" s="3483" t="s">
        <v>2553</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5"/>
      <c r="C11" s="3485"/>
      <c r="D11" s="3485"/>
    </row>
    <row r="12" spans="1:4" ht="168" customHeight="1">
      <c r="A12" s="3482" t="s">
        <v>2055</v>
      </c>
      <c r="B12" s="3482"/>
      <c r="C12" s="3482"/>
      <c r="D12" s="3482"/>
    </row>
    <row r="13" spans="1:4">
      <c r="A13" s="3486" t="s">
        <v>2723</v>
      </c>
      <c r="B13" s="3486"/>
      <c r="C13" s="3486"/>
      <c r="D13" s="3486"/>
    </row>
    <row r="14" spans="1:4">
      <c r="A14" s="3485" t="str">
        <f>IF(项目基本情况!B8="抵押","综上，"&amp;结果表!K47,"——")</f>
        <v>综上，本次评估不存在估价师知悉的法定优先受偿款</v>
      </c>
      <c r="B14" s="3485"/>
      <c r="C14" s="3485"/>
      <c r="D14" s="3485"/>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2679</v>
      </c>
      <c r="B17" s="3483"/>
      <c r="C17" s="3483"/>
      <c r="D17" s="3483"/>
    </row>
    <row r="18" spans="1:4">
      <c r="A18" s="3483" t="s">
        <v>2671</v>
      </c>
      <c r="B18" s="3483"/>
      <c r="C18" s="3483"/>
      <c r="D18" s="3483"/>
    </row>
    <row r="19" spans="1:4">
      <c r="A19" s="2582" t="s">
        <v>2672</v>
      </c>
      <c r="B19" s="2582" t="s">
        <v>2673</v>
      </c>
      <c r="C19" s="2582" t="s">
        <v>2674</v>
      </c>
      <c r="D19" s="2582" t="s">
        <v>2675</v>
      </c>
    </row>
    <row r="20" spans="1:4">
      <c r="A20" s="2582" t="str">
        <f>项目基本情况!B4</f>
        <v>吴薇</v>
      </c>
      <c r="B20" s="2582">
        <f ca="1">项目基本情况!C4</f>
        <v>2002110125</v>
      </c>
      <c r="C20" s="2584"/>
      <c r="D20" s="1712" t="s">
        <v>2680</v>
      </c>
    </row>
    <row r="21" spans="1:4">
      <c r="A21" s="2582" t="str">
        <f>项目基本情况!D4</f>
        <v>郑燚</v>
      </c>
      <c r="B21" s="2582">
        <f ca="1">项目基本情况!E4</f>
        <v>2014110011</v>
      </c>
      <c r="C21" s="2584"/>
      <c r="D21" s="1712" t="s">
        <v>2681</v>
      </c>
    </row>
    <row r="23" spans="1:4">
      <c r="A23" s="3483" t="s">
        <v>2676</v>
      </c>
      <c r="B23" s="3483"/>
      <c r="C23" s="3483"/>
      <c r="D23" s="3483"/>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862</v>
      </c>
    </row>
    <row r="13" spans="1:7">
      <c r="A13" s="1152" t="s">
        <v>52</v>
      </c>
    </row>
    <row r="15" spans="1:7" ht="14.25">
      <c r="A15" s="3494" t="s">
        <v>53</v>
      </c>
      <c r="B15" s="3495" t="s">
        <v>837</v>
      </c>
      <c r="C15" s="3491"/>
    </row>
    <row r="16" spans="1:7" ht="14.25">
      <c r="A16" s="3494"/>
      <c r="B16" s="3492" t="s">
        <v>54</v>
      </c>
      <c r="C16" s="1153" t="s">
        <v>53</v>
      </c>
    </row>
    <row r="17" spans="1:3" ht="14.25">
      <c r="A17" s="3494"/>
      <c r="B17" s="3492"/>
      <c r="C17" s="1153" t="s">
        <v>55</v>
      </c>
    </row>
    <row r="18" spans="1:3" ht="14.25">
      <c r="A18" s="3494"/>
      <c r="B18" s="3492"/>
      <c r="C18" s="1153" t="s">
        <v>56</v>
      </c>
    </row>
    <row r="19" spans="1:3" ht="14.25">
      <c r="A19" s="3494"/>
      <c r="B19" s="3490" t="s">
        <v>57</v>
      </c>
      <c r="C19" s="3491"/>
    </row>
    <row r="20" spans="1:3" ht="14.25">
      <c r="A20" s="1154" t="s">
        <v>58</v>
      </c>
      <c r="B20" s="1155"/>
      <c r="C20" s="1156"/>
    </row>
    <row r="21" spans="1:3" ht="14.25">
      <c r="A21" s="3493" t="s">
        <v>59</v>
      </c>
      <c r="B21" s="3490" t="s">
        <v>60</v>
      </c>
      <c r="C21" s="3491"/>
    </row>
    <row r="22" spans="1:3" ht="14.25">
      <c r="A22" s="3493"/>
      <c r="B22" s="3490" t="s">
        <v>61</v>
      </c>
      <c r="C22" s="3491"/>
    </row>
    <row r="23" spans="1:3" ht="14.25">
      <c r="A23" s="3493"/>
      <c r="B23" s="3490" t="s">
        <v>62</v>
      </c>
      <c r="C23" s="3491"/>
    </row>
    <row r="24" spans="1:3" ht="14.25">
      <c r="A24" s="3493"/>
      <c r="B24" s="3496" t="s">
        <v>63</v>
      </c>
      <c r="C24" s="1157" t="s">
        <v>828</v>
      </c>
    </row>
    <row r="25" spans="1:3" ht="14.25">
      <c r="A25" s="3493"/>
      <c r="B25" s="3497"/>
      <c r="C25" s="1157" t="s">
        <v>829</v>
      </c>
    </row>
    <row r="26" spans="1:3" ht="14.25">
      <c r="A26" s="3493"/>
      <c r="B26" s="3497"/>
      <c r="C26" s="1157" t="s">
        <v>830</v>
      </c>
    </row>
    <row r="27" spans="1:3" ht="14.25">
      <c r="A27" s="3493"/>
      <c r="B27" s="3497"/>
      <c r="C27" s="1157" t="s">
        <v>831</v>
      </c>
    </row>
    <row r="28" spans="1:3" ht="14.25">
      <c r="A28" s="3493"/>
      <c r="B28" s="3497"/>
      <c r="C28" s="1157" t="s">
        <v>832</v>
      </c>
    </row>
    <row r="29" spans="1:3" ht="14.25">
      <c r="A29" s="3493"/>
      <c r="B29" s="3497"/>
      <c r="C29" s="1157" t="s">
        <v>833</v>
      </c>
    </row>
    <row r="30" spans="1:3" ht="14.25">
      <c r="A30" s="3493"/>
      <c r="B30" s="3497"/>
      <c r="C30" s="1157" t="s">
        <v>834</v>
      </c>
    </row>
    <row r="31" spans="1:3" ht="14.25">
      <c r="A31" s="3493"/>
      <c r="B31" s="3497"/>
      <c r="C31" s="1157" t="s">
        <v>835</v>
      </c>
    </row>
    <row r="32" spans="1:3" ht="14.25">
      <c r="A32" s="3493"/>
      <c r="B32" s="3497"/>
      <c r="C32" s="1157" t="s">
        <v>1636</v>
      </c>
    </row>
    <row r="33" spans="1:3" ht="14.25">
      <c r="A33" s="3493"/>
      <c r="B33" s="3487" t="s">
        <v>1642</v>
      </c>
      <c r="C33" s="1157" t="s">
        <v>1637</v>
      </c>
    </row>
    <row r="34" spans="1:3" ht="14.25">
      <c r="A34" s="3493"/>
      <c r="B34" s="3488"/>
      <c r="C34" s="1162" t="s">
        <v>1638</v>
      </c>
    </row>
    <row r="35" spans="1:3" ht="14.25">
      <c r="A35" s="3493"/>
      <c r="B35" s="3488"/>
      <c r="C35" s="1163" t="s">
        <v>1639</v>
      </c>
    </row>
    <row r="36" spans="1:3" ht="14.25">
      <c r="A36" s="3493"/>
      <c r="B36" s="3488"/>
      <c r="C36" s="1163" t="s">
        <v>1640</v>
      </c>
    </row>
    <row r="37" spans="1:3" ht="14.25">
      <c r="A37" s="3493"/>
      <c r="B37" s="3489"/>
      <c r="C37" s="1164" t="s">
        <v>1641</v>
      </c>
    </row>
    <row r="38" spans="1:3">
      <c r="A38" s="1158" t="s">
        <v>836</v>
      </c>
    </row>
    <row r="41" spans="1:3">
      <c r="A41" s="1158" t="s">
        <v>68</v>
      </c>
    </row>
    <row r="42" spans="1:3" ht="14.25">
      <c r="A42" s="1159" t="s">
        <v>844</v>
      </c>
    </row>
    <row r="43" spans="1:3" ht="14.25">
      <c r="A43" s="1160" t="s">
        <v>69</v>
      </c>
    </row>
    <row r="44" spans="1:3" ht="14.25">
      <c r="A44" s="1159" t="s">
        <v>843</v>
      </c>
    </row>
    <row r="45" spans="1:3" ht="14.25">
      <c r="A45" s="1161" t="s">
        <v>845</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1897</v>
      </c>
      <c r="B2" s="3024">
        <f ca="1">TODAY()</f>
        <v>44406</v>
      </c>
      <c r="C2" s="3025" t="s">
        <v>1898</v>
      </c>
      <c r="D2" s="3025"/>
      <c r="E2" s="3022"/>
      <c r="F2" s="3022"/>
      <c r="G2" s="3022"/>
    </row>
    <row r="3" spans="1:7" ht="20.25" customHeight="1">
      <c r="A3" s="3046" t="s">
        <v>1899</v>
      </c>
      <c r="B3" s="3027" t="s">
        <v>1900</v>
      </c>
      <c r="C3" s="3028" t="s">
        <v>1901</v>
      </c>
      <c r="D3" s="3047" t="s">
        <v>1902</v>
      </c>
      <c r="E3" s="3027" t="s">
        <v>1903</v>
      </c>
      <c r="F3" s="3027" t="s">
        <v>1901</v>
      </c>
      <c r="G3" s="3022"/>
    </row>
    <row r="4" spans="1:7" ht="20.25" customHeight="1">
      <c r="A4" s="3027" t="s">
        <v>1904</v>
      </c>
      <c r="B4" s="3027">
        <f ca="1">IF(C4&lt;B2,"已过期",1119970066)</f>
        <v>1119970066</v>
      </c>
      <c r="C4" s="3030">
        <v>44876</v>
      </c>
      <c r="D4" s="3038" t="s">
        <v>1904</v>
      </c>
      <c r="E4" s="3027">
        <f ca="1">IF(F4&lt;B2,"已过期",96010014)</f>
        <v>96010014</v>
      </c>
      <c r="F4" s="3029">
        <v>47118</v>
      </c>
      <c r="G4" s="3022"/>
    </row>
    <row r="5" spans="1:7" ht="20.25" customHeight="1">
      <c r="A5" s="3027" t="s">
        <v>1905</v>
      </c>
      <c r="B5" s="3027">
        <f ca="1">IF(C5&lt;B2,"已过期",1119970111)</f>
        <v>1119970111</v>
      </c>
      <c r="C5" s="3030">
        <v>44876</v>
      </c>
      <c r="D5" s="3038" t="s">
        <v>1905</v>
      </c>
      <c r="E5" s="3027">
        <f ca="1">IF(F5&lt;B2,"已过期",94010078)</f>
        <v>94010078</v>
      </c>
      <c r="F5" s="3029">
        <v>46387</v>
      </c>
      <c r="G5" s="3022"/>
    </row>
    <row r="6" spans="1:7" ht="20.25" customHeight="1">
      <c r="A6" s="3027" t="s">
        <v>1906</v>
      </c>
      <c r="B6" s="3027" t="str">
        <f ca="1">IF(C6&lt;B2,"已过期",1120050019)</f>
        <v>已过期</v>
      </c>
      <c r="C6" s="3030">
        <v>44395</v>
      </c>
      <c r="D6" s="3038" t="s">
        <v>1906</v>
      </c>
      <c r="E6" s="3027">
        <f ca="1">IF(F6&lt;B2,"已过期",2002110030)</f>
        <v>2002110030</v>
      </c>
      <c r="F6" s="3029">
        <v>46387</v>
      </c>
      <c r="G6" s="3022"/>
    </row>
    <row r="7" spans="1:7" ht="20.25" customHeight="1">
      <c r="A7" s="3027" t="s">
        <v>1907</v>
      </c>
      <c r="B7" s="3027">
        <f ca="1">IF(C7&lt;B2,"已过期",1120000080)</f>
        <v>1120000080</v>
      </c>
      <c r="C7" s="3030">
        <v>44876</v>
      </c>
      <c r="D7" s="3038" t="s">
        <v>1907</v>
      </c>
      <c r="E7" s="3027">
        <f ca="1">IF(F7&lt;B2,"已过期",2000110082)</f>
        <v>2000110082</v>
      </c>
      <c r="F7" s="3029">
        <v>46387</v>
      </c>
      <c r="G7" s="3022"/>
    </row>
    <row r="8" spans="1:7" ht="20.25" customHeight="1">
      <c r="A8" s="3027" t="s">
        <v>1908</v>
      </c>
      <c r="B8" s="3027">
        <f ca="1">IF(C8&lt;B2,"已过期",1419970001)</f>
        <v>1419970001</v>
      </c>
      <c r="C8" s="3030">
        <v>44899</v>
      </c>
      <c r="D8" s="3038" t="s">
        <v>1908</v>
      </c>
      <c r="E8" s="3027">
        <f ca="1">IF(F8&lt;B2,"已过期",2002110125)</f>
        <v>2002110125</v>
      </c>
      <c r="F8" s="3029">
        <v>47118</v>
      </c>
      <c r="G8" s="3022"/>
    </row>
    <row r="9" spans="1:7" ht="20.25" customHeight="1">
      <c r="A9" s="3027" t="s">
        <v>1909</v>
      </c>
      <c r="B9" s="3027">
        <f ca="1">IF(C9&lt;B2,"已过期",1120060040)</f>
        <v>1120060040</v>
      </c>
      <c r="C9" s="3030">
        <v>44554</v>
      </c>
      <c r="D9" s="3038" t="s">
        <v>1909</v>
      </c>
      <c r="E9" s="3027">
        <f ca="1">IF(F9&lt;B2,"已过期",2004110096)</f>
        <v>2004110096</v>
      </c>
      <c r="F9" s="3029">
        <v>47118</v>
      </c>
      <c r="G9" s="3022"/>
    </row>
    <row r="10" spans="1:7" ht="20.25" customHeight="1">
      <c r="A10" s="3027" t="s">
        <v>1910</v>
      </c>
      <c r="B10" s="3027">
        <f ca="1">IF(C10&lt;B2,"已过期",1120100036)</f>
        <v>1120100036</v>
      </c>
      <c r="C10" s="3030">
        <v>44675</v>
      </c>
      <c r="D10" s="3038" t="s">
        <v>1910</v>
      </c>
      <c r="E10" s="3027">
        <f ca="1">IF(F10&lt;B2,"已过期",2010110070)</f>
        <v>2010110070</v>
      </c>
      <c r="F10" s="3029">
        <v>47907</v>
      </c>
      <c r="G10" s="3022"/>
    </row>
    <row r="11" spans="1:7" ht="20.25" customHeight="1">
      <c r="A11" s="3027" t="s">
        <v>1911</v>
      </c>
      <c r="B11" s="3027">
        <f ca="1">IF(C11&lt;B2,"已过期",1120070131)</f>
        <v>1120070131</v>
      </c>
      <c r="C11" s="3030">
        <v>44849</v>
      </c>
      <c r="D11" s="3038" t="s">
        <v>1911</v>
      </c>
      <c r="E11" s="3027">
        <f ca="1">IF(F11&lt;B2,"已过期",2014110011)</f>
        <v>2014110011</v>
      </c>
      <c r="F11" s="3029">
        <v>49302</v>
      </c>
      <c r="G11" s="3022"/>
    </row>
    <row r="12" spans="1:7" ht="20.25" customHeight="1">
      <c r="A12" s="3027" t="s">
        <v>2938</v>
      </c>
      <c r="B12" s="3027">
        <f ca="1">IF(C12&lt;B2,"已过期",1120040230)</f>
        <v>1120040230</v>
      </c>
      <c r="C12" s="3030">
        <v>44864</v>
      </c>
      <c r="D12" s="3038" t="s">
        <v>2939</v>
      </c>
      <c r="E12" s="3027">
        <f ca="1">IF(F12&lt;B2,"已过期",98030020)</f>
        <v>98030020</v>
      </c>
      <c r="F12" s="3029">
        <v>47118</v>
      </c>
      <c r="G12" s="3022"/>
    </row>
    <row r="13" spans="1:7" ht="20.25" customHeight="1">
      <c r="A13" s="3027"/>
      <c r="B13" s="3027"/>
      <c r="C13" s="3030"/>
      <c r="D13" s="3038" t="s">
        <v>1912</v>
      </c>
      <c r="E13" s="3027">
        <f ca="1">IF(F13&lt;B2,"已过期",2011110090)</f>
        <v>2011110090</v>
      </c>
      <c r="F13" s="3029">
        <v>48302</v>
      </c>
      <c r="G13" s="3022"/>
    </row>
    <row r="14" spans="1:7" ht="20.25" customHeight="1">
      <c r="A14" s="3027" t="s">
        <v>1913</v>
      </c>
      <c r="B14" s="3027" t="str">
        <f ca="1">IF(C14&lt;B2,"已过期",1120020033)</f>
        <v>已过期</v>
      </c>
      <c r="C14" s="3030">
        <v>44339</v>
      </c>
      <c r="D14" s="3038" t="s">
        <v>1913</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2040</v>
      </c>
      <c r="B16" s="3026" t="s">
        <v>2040</v>
      </c>
      <c r="C16" s="3030"/>
      <c r="D16" s="3039" t="s">
        <v>2040</v>
      </c>
      <c r="E16" s="3027" t="s">
        <v>2040</v>
      </c>
      <c r="F16" s="3029"/>
      <c r="G16" s="3031"/>
    </row>
    <row r="17" spans="1:7" ht="20.25" customHeight="1">
      <c r="A17" s="3501" t="s">
        <v>1914</v>
      </c>
      <c r="B17" s="3502"/>
      <c r="C17" s="3502"/>
      <c r="D17" s="3502"/>
      <c r="E17" s="3502"/>
      <c r="F17" s="3502"/>
      <c r="G17" s="3031"/>
    </row>
    <row r="18" spans="1:7" ht="20.25" customHeight="1">
      <c r="A18" s="3498" t="s">
        <v>1915</v>
      </c>
      <c r="B18" s="3498"/>
      <c r="C18" s="3499"/>
      <c r="D18" s="3500" t="s">
        <v>1916</v>
      </c>
      <c r="E18" s="3498"/>
      <c r="F18" s="3498"/>
      <c r="G18" s="3031"/>
    </row>
    <row r="19" spans="1:7" s="2826" customFormat="1" ht="20.25" customHeight="1">
      <c r="A19" s="3032" t="s">
        <v>1917</v>
      </c>
      <c r="B19" s="3033" t="s">
        <v>1918</v>
      </c>
      <c r="C19" s="3040" t="s">
        <v>1919</v>
      </c>
      <c r="D19" s="3038" t="s">
        <v>1917</v>
      </c>
      <c r="E19" s="3033" t="s">
        <v>1918</v>
      </c>
      <c r="F19" s="3033" t="s">
        <v>1919</v>
      </c>
      <c r="G19" s="3023"/>
    </row>
    <row r="20" spans="1:7" s="2826" customFormat="1" ht="20.25" customHeight="1">
      <c r="A20" s="3034" t="s">
        <v>1920</v>
      </c>
      <c r="B20" s="3034" t="s">
        <v>1921</v>
      </c>
      <c r="C20" s="3041">
        <v>44820</v>
      </c>
      <c r="D20" s="3043" t="s">
        <v>1922</v>
      </c>
      <c r="E20" s="3034" t="s">
        <v>1923</v>
      </c>
      <c r="F20" s="3035">
        <v>44377</v>
      </c>
      <c r="G20" s="3023"/>
    </row>
    <row r="21" spans="1:7" s="2826" customFormat="1" ht="20.25" customHeight="1">
      <c r="A21" s="3034"/>
      <c r="B21" s="3034"/>
      <c r="C21" s="3042"/>
      <c r="D21" s="3043" t="s">
        <v>1924</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5" workbookViewId="0">
      <selection activeCell="Z27" sqref="Z2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847</v>
      </c>
      <c r="B1" s="5" t="s">
        <v>132</v>
      </c>
      <c r="C1" s="148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90" t="s">
        <v>864</v>
      </c>
    </row>
    <row r="2" spans="1:23">
      <c r="A2" s="8" t="s">
        <v>73</v>
      </c>
      <c r="B2" s="8" t="s">
        <v>150</v>
      </c>
      <c r="C2" s="1486" t="s">
        <v>1699</v>
      </c>
      <c r="D2" s="9" t="s">
        <v>74</v>
      </c>
      <c r="E2" s="9" t="s">
        <v>127</v>
      </c>
      <c r="F2" s="9" t="s">
        <v>128</v>
      </c>
      <c r="G2" s="9">
        <v>40</v>
      </c>
      <c r="H2" s="9" t="s">
        <v>129</v>
      </c>
      <c r="I2" s="9" t="s">
        <v>130</v>
      </c>
      <c r="J2" s="9" t="s">
        <v>131</v>
      </c>
      <c r="K2" s="9" t="s">
        <v>75</v>
      </c>
      <c r="L2" s="9" t="s">
        <v>75</v>
      </c>
      <c r="M2" s="9" t="s">
        <v>75</v>
      </c>
      <c r="N2" s="9" t="s">
        <v>75</v>
      </c>
      <c r="O2" s="9" t="s">
        <v>75</v>
      </c>
      <c r="P2" s="991" t="s">
        <v>870</v>
      </c>
      <c r="Q2" s="9" t="s">
        <v>75</v>
      </c>
      <c r="R2" s="991" t="s">
        <v>2519</v>
      </c>
      <c r="S2" s="9" t="s">
        <v>75</v>
      </c>
      <c r="T2" s="9" t="s">
        <v>76</v>
      </c>
      <c r="U2" s="9" t="s">
        <v>75</v>
      </c>
      <c r="V2" s="9" t="s">
        <v>77</v>
      </c>
      <c r="W2" s="9" t="s">
        <v>865</v>
      </c>
    </row>
    <row r="3" spans="1:23">
      <c r="A3" s="8" t="s">
        <v>78</v>
      </c>
      <c r="B3" s="10" t="s">
        <v>151</v>
      </c>
      <c r="C3" s="1487"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2520</v>
      </c>
      <c r="S3" s="9" t="s">
        <v>84</v>
      </c>
      <c r="T3" s="9" t="s">
        <v>85</v>
      </c>
      <c r="U3" s="9" t="s">
        <v>84</v>
      </c>
      <c r="V3" s="9" t="s">
        <v>86</v>
      </c>
      <c r="W3" s="9" t="s">
        <v>866</v>
      </c>
    </row>
    <row r="4" spans="1:23">
      <c r="A4" s="8" t="s">
        <v>87</v>
      </c>
      <c r="B4" s="8" t="s">
        <v>152</v>
      </c>
      <c r="C4" s="1486"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2521</v>
      </c>
      <c r="S4" s="9" t="s">
        <v>92</v>
      </c>
      <c r="T4" s="9" t="s">
        <v>93</v>
      </c>
      <c r="U4" s="9" t="s">
        <v>92</v>
      </c>
      <c r="W4" s="9" t="s">
        <v>867</v>
      </c>
    </row>
    <row r="5" spans="1:23">
      <c r="A5" s="8" t="s">
        <v>94</v>
      </c>
      <c r="B5" s="8" t="s">
        <v>153</v>
      </c>
      <c r="C5" s="1486" t="s">
        <v>1702</v>
      </c>
      <c r="F5" s="9" t="s">
        <v>95</v>
      </c>
      <c r="H5" s="9" t="s">
        <v>70</v>
      </c>
      <c r="I5" s="9" t="s">
        <v>96</v>
      </c>
      <c r="K5" s="9" t="s">
        <v>97</v>
      </c>
      <c r="L5" s="9" t="s">
        <v>97</v>
      </c>
      <c r="M5" s="9" t="s">
        <v>97</v>
      </c>
      <c r="N5" s="9" t="s">
        <v>97</v>
      </c>
      <c r="O5" s="9" t="s">
        <v>97</v>
      </c>
      <c r="P5" s="991" t="s">
        <v>540</v>
      </c>
      <c r="Q5" s="9" t="s">
        <v>97</v>
      </c>
      <c r="R5" s="991" t="s">
        <v>2522</v>
      </c>
      <c r="S5" s="9" t="s">
        <v>97</v>
      </c>
      <c r="T5" s="9" t="s">
        <v>98</v>
      </c>
      <c r="U5" s="9" t="s">
        <v>97</v>
      </c>
      <c r="W5" s="9" t="s">
        <v>868</v>
      </c>
    </row>
    <row r="6" spans="1:23">
      <c r="A6" s="8" t="s">
        <v>99</v>
      </c>
      <c r="B6" s="1130" t="s">
        <v>1630</v>
      </c>
      <c r="C6" s="1488" t="s">
        <v>1703</v>
      </c>
      <c r="F6" s="9" t="s">
        <v>71</v>
      </c>
      <c r="H6" s="9" t="s">
        <v>72</v>
      </c>
      <c r="I6" s="9" t="s">
        <v>100</v>
      </c>
      <c r="K6" s="9" t="s">
        <v>101</v>
      </c>
      <c r="L6" s="9" t="s">
        <v>101</v>
      </c>
      <c r="M6" s="9" t="s">
        <v>101</v>
      </c>
      <c r="N6" s="9" t="s">
        <v>101</v>
      </c>
      <c r="O6" s="9" t="s">
        <v>101</v>
      </c>
      <c r="P6" s="991" t="s">
        <v>871</v>
      </c>
      <c r="Q6" s="9" t="s">
        <v>101</v>
      </c>
      <c r="R6" s="991" t="s">
        <v>2523</v>
      </c>
      <c r="S6" s="9" t="s">
        <v>101</v>
      </c>
      <c r="T6" s="9"/>
      <c r="U6" s="9" t="s">
        <v>101</v>
      </c>
      <c r="W6" s="9" t="s">
        <v>869</v>
      </c>
    </row>
    <row r="7" spans="1:23">
      <c r="A7" s="8" t="s">
        <v>102</v>
      </c>
      <c r="B7" s="8" t="s">
        <v>103</v>
      </c>
      <c r="C7" s="1486" t="s">
        <v>1704</v>
      </c>
      <c r="F7" s="9" t="s">
        <v>154</v>
      </c>
      <c r="H7" s="9" t="s">
        <v>104</v>
      </c>
      <c r="I7" s="9" t="s">
        <v>105</v>
      </c>
    </row>
    <row r="8" spans="1:23">
      <c r="A8" s="8" t="s">
        <v>106</v>
      </c>
      <c r="B8" s="8" t="s">
        <v>107</v>
      </c>
      <c r="C8" s="1486" t="s">
        <v>1705</v>
      </c>
      <c r="F8" s="9" t="s">
        <v>155</v>
      </c>
      <c r="H8" s="9"/>
      <c r="I8" s="9" t="s">
        <v>108</v>
      </c>
    </row>
    <row r="9" spans="1:23">
      <c r="A9" s="8" t="s">
        <v>109</v>
      </c>
      <c r="B9" s="8" t="s">
        <v>156</v>
      </c>
      <c r="C9" s="1486" t="s">
        <v>1706</v>
      </c>
      <c r="F9" s="9" t="s">
        <v>110</v>
      </c>
      <c r="H9" s="9"/>
    </row>
    <row r="10" spans="1:23">
      <c r="A10" s="8" t="s">
        <v>111</v>
      </c>
      <c r="B10" s="8" t="s">
        <v>157</v>
      </c>
      <c r="C10" s="1486" t="s">
        <v>1707</v>
      </c>
      <c r="F10" s="9" t="s">
        <v>6</v>
      </c>
    </row>
    <row r="11" spans="1:23">
      <c r="A11" s="8" t="s">
        <v>112</v>
      </c>
      <c r="B11" s="8" t="s">
        <v>158</v>
      </c>
      <c r="C11" s="1486" t="s">
        <v>1708</v>
      </c>
    </row>
    <row r="12" spans="1:23">
      <c r="A12" s="8" t="s">
        <v>113</v>
      </c>
      <c r="B12" s="8" t="s">
        <v>159</v>
      </c>
      <c r="C12" s="1486" t="s">
        <v>1709</v>
      </c>
    </row>
    <row r="13" spans="1:23">
      <c r="A13" s="8" t="s">
        <v>114</v>
      </c>
      <c r="B13" s="8" t="s">
        <v>160</v>
      </c>
      <c r="C13" s="1486" t="s">
        <v>1710</v>
      </c>
    </row>
    <row r="14" spans="1:23">
      <c r="A14" s="8" t="s">
        <v>115</v>
      </c>
      <c r="B14" s="8" t="s">
        <v>161</v>
      </c>
      <c r="C14" s="1489" t="s">
        <v>1886</v>
      </c>
    </row>
    <row r="15" spans="1:23">
      <c r="A15" s="8" t="s">
        <v>116</v>
      </c>
      <c r="B15" s="8" t="s">
        <v>1671</v>
      </c>
      <c r="C15" s="1489"/>
    </row>
    <row r="16" spans="1:23">
      <c r="A16" s="8" t="s">
        <v>117</v>
      </c>
      <c r="B16" s="8" t="s">
        <v>1672</v>
      </c>
      <c r="C16" s="1489"/>
    </row>
    <row r="17" spans="1:3">
      <c r="A17" s="8" t="s">
        <v>118</v>
      </c>
      <c r="B17" s="8" t="s">
        <v>1673</v>
      </c>
      <c r="C17" s="1489"/>
    </row>
    <row r="18" spans="1:3">
      <c r="A18" s="8" t="s">
        <v>119</v>
      </c>
      <c r="B18" s="2789" t="s">
        <v>2914</v>
      </c>
      <c r="C18" s="1489"/>
    </row>
    <row r="19" spans="1:3">
      <c r="A19" s="8" t="s">
        <v>120</v>
      </c>
      <c r="B19" s="2789" t="s">
        <v>2921</v>
      </c>
      <c r="C19" s="1489"/>
    </row>
    <row r="20" spans="1:3">
      <c r="A20" s="8" t="s">
        <v>121</v>
      </c>
      <c r="B20" s="2789" t="s">
        <v>2967</v>
      </c>
      <c r="C20" s="1489"/>
    </row>
    <row r="21" spans="1:3">
      <c r="A21" s="8" t="s">
        <v>122</v>
      </c>
      <c r="B21" s="8" t="s">
        <v>3435</v>
      </c>
      <c r="C21" s="1489"/>
    </row>
    <row r="22" spans="1:3">
      <c r="A22" s="8" t="s">
        <v>123</v>
      </c>
      <c r="B22" s="8" t="s">
        <v>3439</v>
      </c>
      <c r="C22" s="1489"/>
    </row>
    <row r="23" spans="1:3">
      <c r="A23" s="8" t="s">
        <v>124</v>
      </c>
      <c r="B23" s="8" t="s">
        <v>3482</v>
      </c>
      <c r="C23" s="1489"/>
    </row>
    <row r="24" spans="1:3">
      <c r="A24" s="8" t="s">
        <v>12</v>
      </c>
      <c r="B24" s="8" t="s">
        <v>1631</v>
      </c>
      <c r="C24" s="1489"/>
    </row>
    <row r="25" spans="1:3">
      <c r="A25" s="8" t="s">
        <v>125</v>
      </c>
      <c r="B25" s="8" t="s">
        <v>1631</v>
      </c>
      <c r="C25" s="1489"/>
    </row>
    <row r="26" spans="1:3">
      <c r="A26" s="8" t="s">
        <v>126</v>
      </c>
      <c r="B26" s="8" t="s">
        <v>1631</v>
      </c>
      <c r="C26" s="1489"/>
    </row>
    <row r="27" spans="1:3">
      <c r="A27" s="8" t="s">
        <v>1631</v>
      </c>
      <c r="B27" s="8" t="s">
        <v>1631</v>
      </c>
      <c r="C27" s="1489"/>
    </row>
    <row r="28" spans="1:3">
      <c r="A28" s="8" t="s">
        <v>1631</v>
      </c>
      <c r="B28" s="8" t="s">
        <v>1631</v>
      </c>
      <c r="C28" s="1489"/>
    </row>
    <row r="29" spans="1:3">
      <c r="A29" s="8" t="s">
        <v>1631</v>
      </c>
      <c r="B29" s="8" t="s">
        <v>1631</v>
      </c>
      <c r="C29" s="1489"/>
    </row>
    <row r="30" spans="1:3">
      <c r="A30" s="8" t="s">
        <v>1631</v>
      </c>
      <c r="B30" s="8" t="s">
        <v>1631</v>
      </c>
      <c r="C30" s="1489"/>
    </row>
    <row r="31" spans="1:3">
      <c r="A31" s="8" t="s">
        <v>1631</v>
      </c>
      <c r="B31" s="8" t="s">
        <v>1631</v>
      </c>
      <c r="C31" s="1489"/>
    </row>
    <row r="32" spans="1:3">
      <c r="A32" s="8" t="s">
        <v>1631</v>
      </c>
      <c r="B32" s="8" t="s">
        <v>1631</v>
      </c>
      <c r="C32" s="1489"/>
    </row>
    <row r="33" spans="1:3">
      <c r="A33" s="8" t="s">
        <v>1631</v>
      </c>
      <c r="B33" s="8" t="s">
        <v>1631</v>
      </c>
      <c r="C33" s="1489"/>
    </row>
    <row r="34" spans="1:3">
      <c r="A34" s="8" t="s">
        <v>1631</v>
      </c>
      <c r="B34" s="8" t="s">
        <v>1631</v>
      </c>
      <c r="C34" s="1489"/>
    </row>
    <row r="35" spans="1:3">
      <c r="A35" s="8" t="s">
        <v>1631</v>
      </c>
      <c r="B35" s="8" t="s">
        <v>1631</v>
      </c>
      <c r="C35" s="1489"/>
    </row>
    <row r="36" spans="1:3">
      <c r="A36" s="8" t="s">
        <v>1631</v>
      </c>
      <c r="B36" s="8" t="s">
        <v>1631</v>
      </c>
      <c r="C36" s="1489"/>
    </row>
    <row r="37" spans="1:3">
      <c r="A37" s="8" t="s">
        <v>1631</v>
      </c>
      <c r="B37" s="8" t="s">
        <v>1631</v>
      </c>
      <c r="C37" s="1489"/>
    </row>
    <row r="38" spans="1:3">
      <c r="A38" s="8" t="s">
        <v>1631</v>
      </c>
      <c r="B38" s="8" t="s">
        <v>1631</v>
      </c>
      <c r="C38" s="1489"/>
    </row>
    <row r="39" spans="1:3">
      <c r="A39" s="8" t="s">
        <v>1631</v>
      </c>
      <c r="B39" s="8" t="s">
        <v>1631</v>
      </c>
      <c r="C39" s="1489"/>
    </row>
    <row r="40" spans="1:3">
      <c r="A40" s="8" t="s">
        <v>1631</v>
      </c>
      <c r="B40" s="8" t="s">
        <v>1631</v>
      </c>
      <c r="C40" s="1489"/>
    </row>
    <row r="41" spans="1:3">
      <c r="A41" s="8" t="s">
        <v>1631</v>
      </c>
      <c r="B41" s="8" t="s">
        <v>1631</v>
      </c>
      <c r="C41" s="1489"/>
    </row>
    <row r="42" spans="1:3">
      <c r="A42" s="8" t="s">
        <v>1631</v>
      </c>
      <c r="B42" s="8" t="s">
        <v>1631</v>
      </c>
      <c r="C42" s="1489"/>
    </row>
    <row r="43" spans="1:3">
      <c r="A43" s="8" t="s">
        <v>1631</v>
      </c>
      <c r="B43" s="8" t="s">
        <v>1631</v>
      </c>
      <c r="C43" s="1489"/>
    </row>
    <row r="44" spans="1:3">
      <c r="A44" s="8" t="s">
        <v>1631</v>
      </c>
      <c r="B44" s="8" t="s">
        <v>1631</v>
      </c>
      <c r="C44" s="1489"/>
    </row>
    <row r="45" spans="1:3">
      <c r="A45" s="8" t="s">
        <v>1631</v>
      </c>
      <c r="B45" s="8" t="s">
        <v>1631</v>
      </c>
      <c r="C45" s="1489"/>
    </row>
    <row r="46" spans="1:3">
      <c r="A46" s="8" t="s">
        <v>1631</v>
      </c>
      <c r="B46" s="8" t="s">
        <v>1631</v>
      </c>
      <c r="C46" s="1489"/>
    </row>
    <row r="47" spans="1:3">
      <c r="A47" s="8" t="s">
        <v>1631</v>
      </c>
      <c r="B47" s="8" t="s">
        <v>1631</v>
      </c>
      <c r="C47" s="1489"/>
    </row>
    <row r="48" spans="1:3">
      <c r="A48" s="8" t="s">
        <v>1631</v>
      </c>
      <c r="B48" s="8" t="s">
        <v>1631</v>
      </c>
      <c r="C48" s="1489"/>
    </row>
    <row r="49" spans="1:5">
      <c r="A49" s="8" t="s">
        <v>1631</v>
      </c>
      <c r="B49" s="8" t="s">
        <v>1631</v>
      </c>
      <c r="C49" s="1489"/>
    </row>
    <row r="50" spans="1:5">
      <c r="A50" s="8" t="s">
        <v>1631</v>
      </c>
      <c r="B50" s="8" t="s">
        <v>1631</v>
      </c>
      <c r="C50" s="1489"/>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503"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30日，在规划利用条件下、设定土地开发程度为红线外“七通”、宗地内场地平整，设定用途为商业、办公、地下车库，剩余土地使用年限为商业36.45年、办公36.45年、地下车库36.45年的出让国有建设用地使用权价格。</v>
      </c>
      <c r="D53" s="1682"/>
      <c r="E53" s="1682"/>
    </row>
    <row r="54" spans="1:5">
      <c r="A54" s="3503"/>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503"/>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503"/>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503"/>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169</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规划面积</vt:lpstr>
      <vt:lpstr>规划指标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土地案例</vt:lpstr>
      <vt:lpstr>剩余法-待开发</vt:lpstr>
      <vt:lpstr>不动产比较法-办公</vt:lpstr>
      <vt:lpstr>不动产比较法-公寓</vt:lpstr>
      <vt:lpstr>不动产比较法-商业</vt:lpstr>
      <vt:lpstr>不动产收益法-商业</vt:lpstr>
      <vt:lpstr>不动产收益法-地下商业</vt:lpstr>
      <vt:lpstr>酒店收入计算</vt:lpstr>
      <vt:lpstr>成本逼近法</vt:lpstr>
      <vt:lpstr>不动产比较法-工业</vt:lpstr>
      <vt:lpstr>不动产比较法-车位</vt:lpstr>
      <vt:lpstr>不动产比较法-仓储</vt:lpstr>
      <vt:lpstr>不动产收益法-车库</vt:lpstr>
      <vt:lpstr>典型户型修正</vt:lpstr>
      <vt:lpstr>存贷款利率</vt:lpstr>
      <vt:lpstr>办公</vt:lpstr>
      <vt:lpstr>商业</vt:lpstr>
      <vt:lpstr>Sheet1</vt:lpstr>
      <vt:lpstr>Sheet6</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'不动产收益法-地下商业'!Print_Area</vt:lpstr>
      <vt:lpstr>'不动产收益法-商业'!Print_Area</vt:lpstr>
      <vt:lpstr>成本逼近法!Print_Area</vt:lpstr>
      <vt:lpstr>估价对象房地状况!Print_Area</vt:lpstr>
      <vt:lpstr>估价师及机构信息!Print_Area</vt:lpstr>
      <vt:lpstr>规划指标!Print_Area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2021-07-29T05:54:55Z</dcterms:modified>
</cp:coreProperties>
</file>