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525" windowHeight="11040" tabRatio="875" firstSheet="11"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比较法-住宅、综合" sheetId="39"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比较法-商业" sheetId="33" r:id="rId31"/>
    <sheet name="典型户型修正" sheetId="31"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存贷款利率" sheetId="65" state="hidden" r:id="rId40"/>
    <sheet name="已售" sheetId="68" r:id="rId41"/>
    <sheet name="已售汇总" sheetId="69" r:id="rId42"/>
    <sheet name="Sheet3" sheetId="70" r:id="rId43"/>
    <sheet name="土地案例" sheetId="71" r:id="rId44"/>
  </sheets>
  <externalReferences>
    <externalReference r:id="rId45"/>
  </externalReferences>
  <definedNames>
    <definedName name="_xlnm._FilterDatabase" localSheetId="20"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0"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_xlnm._FilterDatabase" localSheetId="40" hidden="1">已售!$D$1:$D$893</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5" i="66" l="1"/>
  <c r="I26" i="3"/>
  <c r="K27" i="3"/>
  <c r="M28" i="3"/>
  <c r="I33" i="3"/>
  <c r="I47" i="21"/>
  <c r="G47" i="21"/>
  <c r="E47" i="21"/>
  <c r="F9" i="69"/>
  <c r="P5" i="68"/>
  <c r="P4" i="68"/>
  <c r="P3" i="68"/>
  <c r="P2" i="68"/>
  <c r="G3" i="68"/>
  <c r="G4" i="68"/>
  <c r="G5" i="68"/>
  <c r="G6" i="68"/>
  <c r="G7" i="68"/>
  <c r="G8" i="68"/>
  <c r="G9" i="68"/>
  <c r="G10" i="68"/>
  <c r="G11" i="68"/>
  <c r="G12" i="68"/>
  <c r="G13" i="68"/>
  <c r="G14" i="68"/>
  <c r="G15" i="68"/>
  <c r="G16" i="68"/>
  <c r="G17" i="68"/>
  <c r="G18" i="68"/>
  <c r="G19" i="68"/>
  <c r="G20" i="68"/>
  <c r="G21" i="68"/>
  <c r="G22" i="68"/>
  <c r="G23" i="68"/>
  <c r="G24" i="68"/>
  <c r="G25" i="68"/>
  <c r="G26" i="68"/>
  <c r="G27" i="68"/>
  <c r="G28" i="68"/>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G125" i="68"/>
  <c r="G126" i="68"/>
  <c r="G127" i="68"/>
  <c r="G128" i="68"/>
  <c r="G129" i="68"/>
  <c r="G130" i="68"/>
  <c r="G131" i="68"/>
  <c r="G132" i="68"/>
  <c r="G133" i="68"/>
  <c r="G134" i="68"/>
  <c r="G135" i="68"/>
  <c r="G136" i="68"/>
  <c r="G137" i="68"/>
  <c r="G138" i="68"/>
  <c r="G139" i="68"/>
  <c r="G140" i="68"/>
  <c r="G141" i="68"/>
  <c r="G142" i="68"/>
  <c r="G143" i="68"/>
  <c r="G144" i="68"/>
  <c r="G145" i="68"/>
  <c r="G146" i="68"/>
  <c r="G147" i="68"/>
  <c r="G148" i="68"/>
  <c r="G149" i="68"/>
  <c r="G150" i="68"/>
  <c r="G151" i="68"/>
  <c r="G152" i="68"/>
  <c r="G153" i="68"/>
  <c r="G154" i="68"/>
  <c r="G155" i="68"/>
  <c r="G156" i="68"/>
  <c r="G157" i="68"/>
  <c r="G158" i="68"/>
  <c r="G159" i="68"/>
  <c r="G160" i="68"/>
  <c r="G161" i="68"/>
  <c r="G162" i="68"/>
  <c r="G163" i="68"/>
  <c r="G164" i="68"/>
  <c r="G165" i="68"/>
  <c r="G166" i="68"/>
  <c r="G167" i="68"/>
  <c r="G168" i="68"/>
  <c r="G169" i="68"/>
  <c r="G170" i="68"/>
  <c r="G171" i="68"/>
  <c r="G172" i="68"/>
  <c r="G173" i="68"/>
  <c r="G174" i="68"/>
  <c r="G175" i="68"/>
  <c r="G176" i="68"/>
  <c r="G177" i="68"/>
  <c r="G178" i="68"/>
  <c r="G179" i="68"/>
  <c r="G180" i="68"/>
  <c r="G181" i="68"/>
  <c r="G182" i="68"/>
  <c r="G183" i="68"/>
  <c r="G184" i="68"/>
  <c r="G185" i="68"/>
  <c r="G186" i="68"/>
  <c r="G187" i="68"/>
  <c r="G188" i="68"/>
  <c r="G189" i="68"/>
  <c r="G190" i="68"/>
  <c r="G191" i="68"/>
  <c r="G192" i="68"/>
  <c r="G193" i="68"/>
  <c r="G194" i="68"/>
  <c r="G195" i="68"/>
  <c r="G196" i="68"/>
  <c r="G197" i="68"/>
  <c r="G198" i="68"/>
  <c r="G199" i="68"/>
  <c r="G200" i="68"/>
  <c r="G201" i="68"/>
  <c r="G202" i="68"/>
  <c r="G203" i="68"/>
  <c r="G204" i="68"/>
  <c r="G205" i="68"/>
  <c r="G206" i="68"/>
  <c r="G207" i="68"/>
  <c r="G208" i="68"/>
  <c r="G209" i="68"/>
  <c r="G210" i="68"/>
  <c r="G211" i="68"/>
  <c r="G212" i="68"/>
  <c r="G213" i="68"/>
  <c r="G214" i="68"/>
  <c r="G215" i="68"/>
  <c r="G216" i="68"/>
  <c r="G217" i="68"/>
  <c r="G218" i="68"/>
  <c r="G219" i="68"/>
  <c r="G220" i="68"/>
  <c r="G221" i="68"/>
  <c r="G222" i="68"/>
  <c r="G223" i="68"/>
  <c r="G224" i="68"/>
  <c r="G225" i="68"/>
  <c r="G226" i="68"/>
  <c r="G227" i="68"/>
  <c r="G228" i="68"/>
  <c r="G229" i="68"/>
  <c r="G230" i="68"/>
  <c r="G231" i="68"/>
  <c r="G232" i="68"/>
  <c r="G233" i="68"/>
  <c r="G234" i="68"/>
  <c r="G235" i="68"/>
  <c r="G236" i="68"/>
  <c r="G237" i="68"/>
  <c r="G238" i="68"/>
  <c r="G239" i="68"/>
  <c r="G240" i="68"/>
  <c r="G241" i="68"/>
  <c r="G242" i="68"/>
  <c r="G243" i="68"/>
  <c r="G244" i="68"/>
  <c r="G245" i="68"/>
  <c r="G246" i="68"/>
  <c r="G247" i="68"/>
  <c r="G248" i="68"/>
  <c r="G249" i="68"/>
  <c r="G250" i="68"/>
  <c r="G251" i="68"/>
  <c r="G252" i="68"/>
  <c r="G253" i="68"/>
  <c r="G254" i="68"/>
  <c r="G255" i="68"/>
  <c r="G256" i="68"/>
  <c r="G257" i="68"/>
  <c r="G258" i="68"/>
  <c r="G259" i="68"/>
  <c r="G260" i="68"/>
  <c r="G261" i="68"/>
  <c r="G262" i="68"/>
  <c r="G263" i="68"/>
  <c r="G264" i="68"/>
  <c r="G265" i="68"/>
  <c r="G266" i="68"/>
  <c r="G267" i="68"/>
  <c r="G268" i="68"/>
  <c r="G269" i="68"/>
  <c r="G270" i="68"/>
  <c r="G271" i="68"/>
  <c r="G272" i="68"/>
  <c r="G273" i="68"/>
  <c r="G274" i="68"/>
  <c r="G275" i="68"/>
  <c r="G276" i="68"/>
  <c r="G277" i="68"/>
  <c r="G278" i="68"/>
  <c r="G279" i="68"/>
  <c r="G280" i="68"/>
  <c r="G281" i="68"/>
  <c r="G282" i="68"/>
  <c r="G283" i="68"/>
  <c r="G284" i="68"/>
  <c r="G285" i="68"/>
  <c r="G286" i="68"/>
  <c r="G287" i="68"/>
  <c r="G288" i="68"/>
  <c r="G289" i="68"/>
  <c r="G290" i="68"/>
  <c r="G291" i="68"/>
  <c r="G292" i="68"/>
  <c r="G293" i="68"/>
  <c r="G294" i="68"/>
  <c r="G295" i="68"/>
  <c r="G296" i="68"/>
  <c r="G297" i="68"/>
  <c r="G298" i="68"/>
  <c r="G299" i="68"/>
  <c r="G300" i="68"/>
  <c r="G301" i="68"/>
  <c r="G302" i="68"/>
  <c r="G303" i="68"/>
  <c r="G304" i="68"/>
  <c r="G305" i="68"/>
  <c r="G306" i="68"/>
  <c r="G307" i="68"/>
  <c r="G308" i="68"/>
  <c r="G309" i="68"/>
  <c r="G310" i="68"/>
  <c r="G311" i="68"/>
  <c r="G312" i="68"/>
  <c r="G313" i="68"/>
  <c r="G314" i="68"/>
  <c r="G315" i="68"/>
  <c r="G316" i="68"/>
  <c r="G317" i="68"/>
  <c r="G318" i="68"/>
  <c r="G319" i="68"/>
  <c r="G320" i="68"/>
  <c r="G321" i="68"/>
  <c r="G322" i="68"/>
  <c r="G323" i="68"/>
  <c r="G324" i="68"/>
  <c r="G325" i="68"/>
  <c r="G326" i="68"/>
  <c r="G327" i="68"/>
  <c r="G328" i="68"/>
  <c r="G329" i="68"/>
  <c r="G330" i="68"/>
  <c r="G331" i="68"/>
  <c r="G332" i="68"/>
  <c r="G333" i="68"/>
  <c r="G334" i="68"/>
  <c r="G335" i="68"/>
  <c r="G336" i="68"/>
  <c r="G337" i="68"/>
  <c r="G338" i="68"/>
  <c r="G339" i="68"/>
  <c r="G340" i="68"/>
  <c r="G341" i="68"/>
  <c r="G342" i="68"/>
  <c r="G343" i="68"/>
  <c r="G344" i="68"/>
  <c r="G345" i="68"/>
  <c r="G346" i="68"/>
  <c r="G347" i="68"/>
  <c r="G348" i="68"/>
  <c r="G349" i="68"/>
  <c r="G350" i="68"/>
  <c r="G351" i="68"/>
  <c r="G352" i="68"/>
  <c r="G353" i="68"/>
  <c r="G354" i="68"/>
  <c r="G355" i="68"/>
  <c r="G356" i="68"/>
  <c r="G357" i="68"/>
  <c r="G358" i="68"/>
  <c r="G359" i="68"/>
  <c r="G360" i="68"/>
  <c r="G361" i="68"/>
  <c r="G362" i="68"/>
  <c r="G363" i="68"/>
  <c r="G364" i="68"/>
  <c r="G365" i="68"/>
  <c r="G366" i="68"/>
  <c r="G367" i="68"/>
  <c r="G368" i="68"/>
  <c r="G369" i="68"/>
  <c r="G370" i="68"/>
  <c r="G371" i="68"/>
  <c r="G372" i="68"/>
  <c r="G373" i="68"/>
  <c r="G374" i="68"/>
  <c r="G375" i="68"/>
  <c r="G376" i="68"/>
  <c r="G377" i="68"/>
  <c r="G378" i="68"/>
  <c r="G379" i="68"/>
  <c r="G380" i="68"/>
  <c r="G381" i="68"/>
  <c r="G382" i="68"/>
  <c r="G383" i="68"/>
  <c r="G384" i="68"/>
  <c r="G385" i="68"/>
  <c r="G386" i="68"/>
  <c r="G387" i="68"/>
  <c r="G388" i="68"/>
  <c r="G389" i="68"/>
  <c r="G390" i="68"/>
  <c r="G391" i="68"/>
  <c r="G392" i="68"/>
  <c r="G393" i="68"/>
  <c r="G394" i="68"/>
  <c r="G395" i="68"/>
  <c r="G396" i="68"/>
  <c r="G397" i="68"/>
  <c r="G398" i="68"/>
  <c r="G399" i="68"/>
  <c r="G400" i="68"/>
  <c r="G401" i="68"/>
  <c r="G402" i="68"/>
  <c r="G403" i="68"/>
  <c r="G404" i="68"/>
  <c r="G405" i="68"/>
  <c r="G406" i="68"/>
  <c r="G407" i="68"/>
  <c r="G408" i="68"/>
  <c r="G409" i="68"/>
  <c r="G410" i="68"/>
  <c r="G411" i="68"/>
  <c r="G412" i="68"/>
  <c r="G413" i="68"/>
  <c r="G414" i="68"/>
  <c r="G415" i="68"/>
  <c r="G416" i="68"/>
  <c r="G417" i="68"/>
  <c r="G418" i="68"/>
  <c r="G419" i="68"/>
  <c r="G420" i="68"/>
  <c r="G421" i="68"/>
  <c r="G422" i="68"/>
  <c r="G423" i="68"/>
  <c r="G424" i="68"/>
  <c r="G425" i="68"/>
  <c r="G426" i="68"/>
  <c r="G427" i="68"/>
  <c r="G428" i="68"/>
  <c r="G429" i="68"/>
  <c r="G430" i="68"/>
  <c r="G431" i="68"/>
  <c r="G432" i="68"/>
  <c r="G433" i="68"/>
  <c r="G434" i="68"/>
  <c r="G435" i="68"/>
  <c r="G436" i="68"/>
  <c r="G437" i="68"/>
  <c r="G438" i="68"/>
  <c r="G439" i="68"/>
  <c r="G440" i="68"/>
  <c r="G441" i="68"/>
  <c r="G442" i="68"/>
  <c r="G443" i="68"/>
  <c r="G444" i="68"/>
  <c r="G445" i="68"/>
  <c r="G446" i="68"/>
  <c r="G447" i="68"/>
  <c r="G448" i="68"/>
  <c r="G449" i="68"/>
  <c r="G450" i="68"/>
  <c r="G451" i="68"/>
  <c r="G452" i="68"/>
  <c r="G453" i="68"/>
  <c r="G454" i="68"/>
  <c r="G455" i="68"/>
  <c r="G456" i="68"/>
  <c r="G457" i="68"/>
  <c r="G458" i="68"/>
  <c r="G459" i="68"/>
  <c r="G460" i="68"/>
  <c r="G461" i="68"/>
  <c r="G462" i="68"/>
  <c r="G463" i="68"/>
  <c r="G464" i="68"/>
  <c r="G465" i="68"/>
  <c r="G466" i="68"/>
  <c r="G467" i="68"/>
  <c r="G468" i="68"/>
  <c r="G469" i="68"/>
  <c r="G470" i="68"/>
  <c r="G471" i="68"/>
  <c r="G472" i="68"/>
  <c r="G473" i="68"/>
  <c r="G474" i="68"/>
  <c r="G475" i="68"/>
  <c r="G476" i="68"/>
  <c r="G477" i="68"/>
  <c r="G478" i="68"/>
  <c r="G479" i="68"/>
  <c r="G480" i="68"/>
  <c r="G481" i="68"/>
  <c r="G482" i="68"/>
  <c r="G483" i="68"/>
  <c r="G484" i="68"/>
  <c r="G485" i="68"/>
  <c r="G486" i="68"/>
  <c r="G487" i="68"/>
  <c r="G488" i="68"/>
  <c r="G489" i="68"/>
  <c r="G490" i="68"/>
  <c r="G491" i="68"/>
  <c r="G492" i="68"/>
  <c r="G493" i="68"/>
  <c r="G494" i="68"/>
  <c r="G495" i="68"/>
  <c r="G496" i="68"/>
  <c r="G497" i="68"/>
  <c r="G498" i="68"/>
  <c r="G499" i="68"/>
  <c r="G500" i="68"/>
  <c r="G501" i="68"/>
  <c r="G502" i="68"/>
  <c r="G503" i="68"/>
  <c r="G504" i="68"/>
  <c r="G505" i="68"/>
  <c r="G506" i="68"/>
  <c r="G507" i="68"/>
  <c r="G508" i="68"/>
  <c r="G509" i="68"/>
  <c r="G510" i="68"/>
  <c r="G511" i="68"/>
  <c r="G512" i="68"/>
  <c r="G513" i="68"/>
  <c r="G514" i="68"/>
  <c r="G515" i="68"/>
  <c r="G516" i="68"/>
  <c r="G517" i="68"/>
  <c r="G518" i="68"/>
  <c r="G519" i="68"/>
  <c r="G520" i="68"/>
  <c r="G521" i="68"/>
  <c r="G522" i="68"/>
  <c r="G523" i="68"/>
  <c r="G524" i="68"/>
  <c r="G525" i="68"/>
  <c r="G526" i="68"/>
  <c r="G527" i="68"/>
  <c r="G528" i="68"/>
  <c r="G529" i="68"/>
  <c r="G530" i="68"/>
  <c r="G531" i="68"/>
  <c r="G532" i="68"/>
  <c r="G533" i="68"/>
  <c r="G534" i="68"/>
  <c r="G535" i="68"/>
  <c r="G536" i="68"/>
  <c r="G537" i="68"/>
  <c r="G538" i="68"/>
  <c r="G539" i="68"/>
  <c r="G540" i="68"/>
  <c r="G541" i="68"/>
  <c r="G542" i="68"/>
  <c r="G543" i="68"/>
  <c r="G544" i="68"/>
  <c r="G545" i="68"/>
  <c r="G546" i="68"/>
  <c r="G547" i="68"/>
  <c r="G548" i="68"/>
  <c r="G549" i="68"/>
  <c r="G550" i="68"/>
  <c r="G551" i="68"/>
  <c r="G552" i="68"/>
  <c r="G553" i="68"/>
  <c r="G554" i="68"/>
  <c r="G555" i="68"/>
  <c r="G556" i="68"/>
  <c r="G557" i="68"/>
  <c r="G558" i="68"/>
  <c r="G559" i="68"/>
  <c r="G560" i="68"/>
  <c r="G561" i="68"/>
  <c r="G562" i="68"/>
  <c r="G563" i="68"/>
  <c r="G564" i="68"/>
  <c r="G565" i="68"/>
  <c r="G566" i="68"/>
  <c r="G567" i="68"/>
  <c r="G568" i="68"/>
  <c r="G569" i="68"/>
  <c r="G570" i="68"/>
  <c r="G571" i="68"/>
  <c r="G572" i="68"/>
  <c r="G573" i="68"/>
  <c r="G574" i="68"/>
  <c r="G575" i="68"/>
  <c r="G576" i="68"/>
  <c r="G577" i="68"/>
  <c r="G578" i="68"/>
  <c r="G579" i="68"/>
  <c r="G580" i="68"/>
  <c r="G581" i="68"/>
  <c r="G582" i="68"/>
  <c r="G583" i="68"/>
  <c r="G584" i="68"/>
  <c r="G585" i="68"/>
  <c r="G586" i="68"/>
  <c r="G587" i="68"/>
  <c r="G588" i="68"/>
  <c r="G589" i="68"/>
  <c r="G590" i="68"/>
  <c r="G591" i="68"/>
  <c r="G592" i="68"/>
  <c r="G593" i="68"/>
  <c r="G594" i="68"/>
  <c r="G595" i="68"/>
  <c r="G596" i="68"/>
  <c r="G597" i="68"/>
  <c r="G598" i="68"/>
  <c r="G599" i="68"/>
  <c r="G600" i="68"/>
  <c r="G601" i="68"/>
  <c r="G602" i="68"/>
  <c r="G603" i="68"/>
  <c r="G604" i="68"/>
  <c r="G605" i="68"/>
  <c r="G606" i="68"/>
  <c r="G607" i="68"/>
  <c r="G608" i="68"/>
  <c r="G609" i="68"/>
  <c r="G610" i="68"/>
  <c r="G611" i="68"/>
  <c r="G612" i="68"/>
  <c r="G613" i="68"/>
  <c r="G614" i="68"/>
  <c r="G615" i="68"/>
  <c r="G616" i="68"/>
  <c r="G617" i="68"/>
  <c r="G618" i="68"/>
  <c r="G619" i="68"/>
  <c r="G620" i="68"/>
  <c r="G621" i="68"/>
  <c r="G622" i="68"/>
  <c r="G623" i="68"/>
  <c r="G624" i="68"/>
  <c r="G625" i="68"/>
  <c r="G626" i="68"/>
  <c r="G627" i="68"/>
  <c r="G628" i="68"/>
  <c r="G629" i="68"/>
  <c r="G630" i="68"/>
  <c r="G631" i="68"/>
  <c r="G632" i="68"/>
  <c r="G633" i="68"/>
  <c r="G634" i="68"/>
  <c r="G635" i="68"/>
  <c r="G636" i="68"/>
  <c r="G637" i="68"/>
  <c r="G638" i="68"/>
  <c r="G639" i="68"/>
  <c r="G640" i="68"/>
  <c r="G641" i="68"/>
  <c r="G642" i="68"/>
  <c r="G643" i="68"/>
  <c r="G644" i="68"/>
  <c r="G645" i="68"/>
  <c r="G646" i="68"/>
  <c r="G647" i="68"/>
  <c r="G648" i="68"/>
  <c r="G649" i="68"/>
  <c r="G650" i="68"/>
  <c r="G651" i="68"/>
  <c r="G652" i="68"/>
  <c r="G653" i="68"/>
  <c r="G654" i="68"/>
  <c r="G655" i="68"/>
  <c r="G656" i="68"/>
  <c r="G657" i="68"/>
  <c r="G658" i="68"/>
  <c r="G659" i="68"/>
  <c r="G660" i="68"/>
  <c r="G661" i="68"/>
  <c r="G662" i="68"/>
  <c r="G663" i="68"/>
  <c r="G664" i="68"/>
  <c r="G665" i="68"/>
  <c r="G666" i="68"/>
  <c r="G667" i="68"/>
  <c r="G668" i="68"/>
  <c r="G669" i="68"/>
  <c r="G670" i="68"/>
  <c r="G671" i="68"/>
  <c r="G672" i="68"/>
  <c r="G673" i="68"/>
  <c r="G674" i="68"/>
  <c r="G675" i="68"/>
  <c r="G676" i="68"/>
  <c r="G677" i="68"/>
  <c r="G678" i="68"/>
  <c r="G679" i="68"/>
  <c r="G680" i="68"/>
  <c r="G681" i="68"/>
  <c r="G682" i="68"/>
  <c r="G683" i="68"/>
  <c r="G684" i="68"/>
  <c r="G685" i="68"/>
  <c r="G686" i="68"/>
  <c r="G687" i="68"/>
  <c r="G688" i="68"/>
  <c r="G689" i="68"/>
  <c r="G690" i="68"/>
  <c r="G691" i="68"/>
  <c r="G692" i="68"/>
  <c r="G693" i="68"/>
  <c r="G694" i="68"/>
  <c r="G695" i="68"/>
  <c r="G696" i="68"/>
  <c r="G697" i="68"/>
  <c r="G698" i="68"/>
  <c r="G699" i="68"/>
  <c r="G700" i="68"/>
  <c r="G701" i="68"/>
  <c r="G702" i="68"/>
  <c r="G703" i="68"/>
  <c r="G704" i="68"/>
  <c r="G705" i="68"/>
  <c r="G706" i="68"/>
  <c r="G707" i="68"/>
  <c r="G708" i="68"/>
  <c r="G709" i="68"/>
  <c r="G710" i="68"/>
  <c r="G711" i="68"/>
  <c r="G712" i="68"/>
  <c r="G713" i="68"/>
  <c r="G714" i="68"/>
  <c r="G715" i="68"/>
  <c r="G716" i="68"/>
  <c r="G717" i="68"/>
  <c r="G718" i="68"/>
  <c r="G719" i="68"/>
  <c r="G720" i="68"/>
  <c r="G721" i="68"/>
  <c r="G722" i="68"/>
  <c r="G723" i="68"/>
  <c r="G724" i="68"/>
  <c r="G725" i="68"/>
  <c r="G726" i="68"/>
  <c r="G727" i="68"/>
  <c r="G728" i="68"/>
  <c r="G729" i="68"/>
  <c r="G730" i="68"/>
  <c r="G731" i="68"/>
  <c r="G732" i="68"/>
  <c r="G733" i="68"/>
  <c r="G734" i="68"/>
  <c r="G735" i="68"/>
  <c r="G736" i="68"/>
  <c r="G737" i="68"/>
  <c r="G738" i="68"/>
  <c r="G739" i="68"/>
  <c r="G740" i="68"/>
  <c r="G741" i="68"/>
  <c r="G742" i="68"/>
  <c r="G743" i="68"/>
  <c r="G744" i="68"/>
  <c r="G745" i="68"/>
  <c r="G746" i="68"/>
  <c r="G747" i="68"/>
  <c r="G748" i="68"/>
  <c r="G749" i="68"/>
  <c r="G750" i="68"/>
  <c r="G751" i="68"/>
  <c r="G752" i="68"/>
  <c r="G753" i="68"/>
  <c r="G754" i="68"/>
  <c r="G755" i="68"/>
  <c r="G756" i="68"/>
  <c r="G757" i="68"/>
  <c r="G758" i="68"/>
  <c r="G759" i="68"/>
  <c r="G760" i="68"/>
  <c r="G761" i="68"/>
  <c r="G762" i="68"/>
  <c r="G763" i="68"/>
  <c r="G764" i="68"/>
  <c r="G765" i="68"/>
  <c r="G766" i="68"/>
  <c r="G767" i="68"/>
  <c r="G768" i="68"/>
  <c r="G769" i="68"/>
  <c r="G770" i="68"/>
  <c r="G771" i="68"/>
  <c r="G772" i="68"/>
  <c r="G773" i="68"/>
  <c r="G774" i="68"/>
  <c r="G775" i="68"/>
  <c r="G776" i="68"/>
  <c r="G777" i="68"/>
  <c r="G778" i="68"/>
  <c r="G779" i="68"/>
  <c r="G780" i="68"/>
  <c r="G781" i="68"/>
  <c r="G782" i="68"/>
  <c r="G783" i="68"/>
  <c r="G784" i="68"/>
  <c r="G785" i="68"/>
  <c r="G786" i="68"/>
  <c r="G787" i="68"/>
  <c r="G788" i="68"/>
  <c r="G789" i="68"/>
  <c r="G790" i="68"/>
  <c r="G791" i="68"/>
  <c r="G792" i="68"/>
  <c r="G793" i="68"/>
  <c r="G794" i="68"/>
  <c r="G795" i="68"/>
  <c r="G796" i="68"/>
  <c r="G797" i="68"/>
  <c r="G798" i="68"/>
  <c r="G799" i="68"/>
  <c r="G800" i="68"/>
  <c r="G801" i="68"/>
  <c r="G802" i="68"/>
  <c r="G803" i="68"/>
  <c r="G804" i="68"/>
  <c r="G805" i="68"/>
  <c r="G806" i="68"/>
  <c r="G807" i="68"/>
  <c r="G808" i="68"/>
  <c r="G809" i="68"/>
  <c r="G810" i="68"/>
  <c r="G811" i="68"/>
  <c r="G812" i="68"/>
  <c r="G813" i="68"/>
  <c r="G814" i="68"/>
  <c r="G815" i="68"/>
  <c r="G816" i="68"/>
  <c r="G817" i="68"/>
  <c r="G818" i="68"/>
  <c r="G819" i="68"/>
  <c r="G820" i="68"/>
  <c r="G821" i="68"/>
  <c r="G822" i="68"/>
  <c r="G823" i="68"/>
  <c r="G824" i="68"/>
  <c r="G825" i="68"/>
  <c r="G826" i="68"/>
  <c r="G827" i="68"/>
  <c r="G828" i="68"/>
  <c r="G829" i="68"/>
  <c r="G830" i="68"/>
  <c r="G831" i="68"/>
  <c r="G832" i="68"/>
  <c r="G833" i="68"/>
  <c r="G834" i="68"/>
  <c r="G835" i="68"/>
  <c r="G836" i="68"/>
  <c r="G837" i="68"/>
  <c r="G838" i="68"/>
  <c r="G839" i="68"/>
  <c r="G840" i="68"/>
  <c r="G841" i="68"/>
  <c r="G842" i="68"/>
  <c r="G843" i="68"/>
  <c r="G844" i="68"/>
  <c r="G845" i="68"/>
  <c r="G846" i="68"/>
  <c r="G847" i="68"/>
  <c r="G848" i="68"/>
  <c r="G849" i="68"/>
  <c r="G850" i="68"/>
  <c r="G851" i="68"/>
  <c r="G852" i="68"/>
  <c r="G853" i="68"/>
  <c r="G854" i="68"/>
  <c r="G855" i="68"/>
  <c r="G856" i="68"/>
  <c r="G857" i="68"/>
  <c r="G858" i="68"/>
  <c r="G859" i="68"/>
  <c r="G860" i="68"/>
  <c r="G861" i="68"/>
  <c r="G862" i="68"/>
  <c r="G863" i="68"/>
  <c r="G864" i="68"/>
  <c r="G865" i="68"/>
  <c r="G866" i="68"/>
  <c r="G867" i="68"/>
  <c r="G868" i="68"/>
  <c r="G869" i="68"/>
  <c r="G870" i="68"/>
  <c r="G871" i="68"/>
  <c r="G872" i="68"/>
  <c r="G873" i="68"/>
  <c r="G874" i="68"/>
  <c r="G875" i="68"/>
  <c r="G876" i="68"/>
  <c r="G877" i="68"/>
  <c r="G878" i="68"/>
  <c r="G879" i="68"/>
  <c r="G880" i="68"/>
  <c r="G881" i="68"/>
  <c r="G882" i="68"/>
  <c r="G883" i="68"/>
  <c r="G884" i="68"/>
  <c r="G885" i="68"/>
  <c r="G886" i="68"/>
  <c r="G887" i="68"/>
  <c r="G888" i="68"/>
  <c r="G889" i="68"/>
  <c r="G890" i="68"/>
  <c r="G891" i="68"/>
  <c r="G892" i="68"/>
  <c r="G893" i="68"/>
  <c r="G2" i="68"/>
  <c r="B34" i="31"/>
  <c r="B33" i="31"/>
  <c r="B32" i="31"/>
  <c r="B31" i="31"/>
  <c r="B30" i="31"/>
  <c r="B29" i="31"/>
  <c r="B28" i="31"/>
  <c r="B41" i="69"/>
  <c r="F36" i="69"/>
  <c r="G36" i="69"/>
  <c r="F32" i="69"/>
  <c r="G32" i="69"/>
  <c r="G23" i="69"/>
  <c r="F23" i="69"/>
  <c r="L7" i="1"/>
  <c r="F14" i="69"/>
  <c r="F13" i="69"/>
  <c r="F12" i="69"/>
  <c r="F11" i="69"/>
  <c r="F10" i="69"/>
  <c r="F8" i="69"/>
  <c r="F7" i="69"/>
  <c r="L9" i="69"/>
  <c r="L7" i="69"/>
  <c r="L5" i="69"/>
  <c r="L2" i="69"/>
  <c r="L17" i="69"/>
  <c r="L11" i="69"/>
  <c r="I14" i="69"/>
  <c r="I8" i="69"/>
  <c r="I2" i="69"/>
  <c r="I5" i="69"/>
  <c r="I7" i="69"/>
  <c r="I21" i="69"/>
  <c r="L37" i="69"/>
  <c r="L33" i="69"/>
  <c r="L31" i="69"/>
  <c r="L29" i="69"/>
  <c r="I3" i="69"/>
  <c r="M31" i="70"/>
  <c r="L23" i="70"/>
  <c r="K45" i="70"/>
  <c r="J39" i="70"/>
  <c r="B50" i="70"/>
  <c r="A100" i="70"/>
  <c r="B2" i="69"/>
  <c r="L70" i="1"/>
  <c r="L69" i="1"/>
  <c r="L72" i="1"/>
  <c r="L74" i="1"/>
  <c r="N14" i="1"/>
  <c r="N11" i="1"/>
  <c r="N10" i="1"/>
  <c r="N9" i="1"/>
  <c r="N8" i="1"/>
  <c r="N7" i="1"/>
  <c r="I47" i="33"/>
  <c r="G47" i="33"/>
  <c r="E47" i="33"/>
  <c r="E36" i="33"/>
  <c r="AD32" i="3"/>
  <c r="I48" i="39"/>
  <c r="G48" i="39"/>
  <c r="E48" i="39"/>
  <c r="I40" i="39"/>
  <c r="G40" i="39"/>
  <c r="E40" i="39"/>
  <c r="I9" i="39"/>
  <c r="G9" i="39"/>
  <c r="E9" i="39"/>
  <c r="I7" i="39"/>
  <c r="G7" i="39"/>
  <c r="E7" i="39"/>
  <c r="C12" i="39"/>
  <c r="C40" i="39"/>
  <c r="AD29" i="3"/>
  <c r="G24" i="6"/>
  <c r="L34" i="69"/>
  <c r="L32" i="69"/>
  <c r="L30" i="69"/>
  <c r="L27" i="69"/>
  <c r="L28" i="69"/>
  <c r="L25" i="69"/>
  <c r="L26" i="69"/>
  <c r="L23" i="69"/>
  <c r="L24" i="69"/>
  <c r="L21" i="69"/>
  <c r="L22" i="69"/>
  <c r="L20" i="69"/>
  <c r="L18" i="69"/>
  <c r="L12" i="69"/>
  <c r="I9" i="69"/>
  <c r="L15" i="69"/>
  <c r="L16" i="69"/>
  <c r="L13" i="69"/>
  <c r="L14" i="69"/>
  <c r="L10" i="69"/>
  <c r="L8" i="69"/>
  <c r="L6" i="69"/>
  <c r="L4" i="69"/>
  <c r="L3" i="69"/>
  <c r="I20" i="69"/>
  <c r="I17" i="69"/>
  <c r="AH31" i="3"/>
  <c r="I16" i="69"/>
  <c r="I11" i="69"/>
  <c r="I10" i="69"/>
  <c r="I25" i="69"/>
  <c r="I23" i="69"/>
  <c r="I24" i="69"/>
  <c r="I19" i="69"/>
  <c r="I15" i="69"/>
  <c r="AL30" i="3"/>
  <c r="I6" i="69"/>
  <c r="B26" i="31"/>
  <c r="B27" i="31"/>
  <c r="B14" i="69"/>
  <c r="N17" i="69"/>
  <c r="B12" i="69"/>
  <c r="B9" i="69"/>
  <c r="I20" i="3"/>
  <c r="B7" i="69"/>
  <c r="I18" i="3"/>
  <c r="B5" i="69"/>
  <c r="B3" i="69"/>
  <c r="B15" i="69"/>
  <c r="B13" i="69"/>
  <c r="I106" i="70"/>
  <c r="B10" i="69"/>
  <c r="I21" i="3"/>
  <c r="H96" i="70"/>
  <c r="G83" i="70"/>
  <c r="B8" i="69"/>
  <c r="I19" i="3"/>
  <c r="F60" i="70"/>
  <c r="E118" i="70"/>
  <c r="B6" i="69"/>
  <c r="I12" i="69"/>
  <c r="D110" i="70"/>
  <c r="C57" i="70"/>
  <c r="B4" i="69"/>
  <c r="I23" i="3"/>
  <c r="I25" i="3"/>
  <c r="L19" i="69"/>
  <c r="C33" i="33"/>
  <c r="B24" i="31"/>
  <c r="B25" i="31"/>
  <c r="I18" i="69"/>
  <c r="I24" i="3"/>
  <c r="I22" i="69"/>
  <c r="F4" i="69"/>
  <c r="I22" i="3"/>
  <c r="F20" i="6"/>
  <c r="M25" i="1"/>
  <c r="M26" i="1"/>
  <c r="F23" i="6"/>
  <c r="I17" i="3"/>
  <c r="I16" i="3"/>
  <c r="I15" i="3"/>
  <c r="F22" i="6"/>
  <c r="M27" i="1"/>
  <c r="F21" i="6"/>
  <c r="H26" i="3"/>
  <c r="G26" i="3"/>
  <c r="F19" i="6"/>
  <c r="M24" i="1"/>
  <c r="F2" i="69"/>
  <c r="I13" i="3"/>
  <c r="H13" i="3"/>
  <c r="I14" i="3"/>
  <c r="F3" i="69"/>
  <c r="D7" i="59"/>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B67" i="63"/>
  <c r="A15" i="55"/>
  <c r="A10" i="55"/>
  <c r="A9" i="55"/>
  <c r="A8" i="55"/>
  <c r="A6" i="54"/>
  <c r="A8" i="54"/>
  <c r="A7" i="54"/>
  <c r="B51" i="63"/>
  <c r="A28" i="51"/>
  <c r="A27" i="51"/>
  <c r="D5" i="46"/>
  <c r="Q8" i="59"/>
  <c r="O8" i="59"/>
  <c r="N9" i="59"/>
  <c r="O9" i="59"/>
  <c r="P9" i="59"/>
  <c r="Q9" i="59"/>
  <c r="N8" i="59"/>
  <c r="P8" i="59"/>
  <c r="K75" i="9"/>
  <c r="K6" i="4"/>
  <c r="O76" i="9"/>
  <c r="B22" i="31"/>
  <c r="E16" i="66"/>
  <c r="F16" i="66"/>
  <c r="E17" i="66"/>
  <c r="F17" i="66"/>
  <c r="E18" i="66"/>
  <c r="F18" i="66"/>
  <c r="E19" i="66"/>
  <c r="F19" i="66"/>
  <c r="E20" i="66"/>
  <c r="F20" i="66"/>
  <c r="E21" i="66"/>
  <c r="F21" i="66"/>
  <c r="E22" i="66"/>
  <c r="F22" i="66"/>
  <c r="E23" i="66"/>
  <c r="F23" i="66"/>
  <c r="B3" i="66"/>
  <c r="M19" i="46"/>
  <c r="B6" i="59"/>
  <c r="E6" i="59"/>
  <c r="E5" i="59"/>
  <c r="F6" i="59"/>
  <c r="F5" i="59"/>
  <c r="V6" i="59"/>
  <c r="U6" i="59"/>
  <c r="B5" i="59"/>
  <c r="S6"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C3" i="65"/>
  <c r="C1" i="65"/>
  <c r="N1" i="65"/>
  <c r="C5" i="59"/>
  <c r="D5" i="59"/>
  <c r="T6" i="59"/>
  <c r="D6" i="59"/>
  <c r="H1" i="65"/>
  <c r="B76" i="63"/>
  <c r="M5" i="54"/>
  <c r="A23" i="51"/>
  <c r="Y12" i="46"/>
  <c r="AA9" i="46"/>
  <c r="AA10" i="46"/>
  <c r="AB9" i="46"/>
  <c r="AC9" i="46"/>
  <c r="AC10" i="46"/>
  <c r="AD9" i="46"/>
  <c r="AE9" i="46"/>
  <c r="AE10" i="46"/>
  <c r="AF9" i="46"/>
  <c r="AG9" i="46"/>
  <c r="AG10" i="46"/>
  <c r="AH9" i="46"/>
  <c r="AI9" i="46"/>
  <c r="AI10" i="46"/>
  <c r="AJ9" i="46"/>
  <c r="Z9" i="46"/>
  <c r="Z10" i="46"/>
  <c r="AJ10" i="46"/>
  <c r="AH10" i="46"/>
  <c r="AF10" i="46"/>
  <c r="AD10" i="46"/>
  <c r="AB10" i="46"/>
  <c r="Y10" i="46"/>
  <c r="AJ12" i="46"/>
  <c r="AH12" i="46"/>
  <c r="AF12" i="46"/>
  <c r="AD12" i="46"/>
  <c r="AB12" i="46"/>
  <c r="Z12" i="46"/>
  <c r="AG12" i="46"/>
  <c r="AC12" i="46"/>
  <c r="B73" i="63"/>
  <c r="A21" i="64"/>
  <c r="B75" i="63"/>
  <c r="A28" i="64"/>
  <c r="A27" i="64"/>
  <c r="A15" i="64"/>
  <c r="A14" i="64"/>
  <c r="A11" i="64"/>
  <c r="A3" i="64"/>
  <c r="A45" i="9"/>
  <c r="A44" i="9"/>
  <c r="C57" i="10"/>
  <c r="C56" i="10"/>
  <c r="C55" i="10"/>
  <c r="C54" i="10"/>
  <c r="B49" i="63"/>
  <c r="B44" i="63"/>
  <c r="B40" i="63"/>
  <c r="B30" i="63"/>
  <c r="B27" i="63"/>
  <c r="B25" i="63"/>
  <c r="A11" i="51"/>
  <c r="A26" i="64"/>
  <c r="A26" i="51"/>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I19" i="46"/>
  <c r="Q10" i="59"/>
  <c r="F10" i="59"/>
  <c r="P10" i="59"/>
  <c r="O10" i="59"/>
  <c r="C10" i="59"/>
  <c r="N10" i="59"/>
  <c r="B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F49" i="59"/>
  <c r="F48" i="59"/>
  <c r="Q48"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O20" i="59"/>
  <c r="Y20" i="59"/>
  <c r="N20" i="59"/>
  <c r="Q19" i="59"/>
  <c r="AB19" i="59"/>
  <c r="P19" i="59"/>
  <c r="AA19" i="59"/>
  <c r="O19" i="59"/>
  <c r="C20" i="59"/>
  <c r="N19" i="59"/>
  <c r="B20" i="59"/>
  <c r="B21" i="59"/>
  <c r="B22" i="59"/>
  <c r="S22" i="59"/>
  <c r="D19" i="59"/>
  <c r="Q18" i="59"/>
  <c r="P18" i="59"/>
  <c r="AA18" i="59"/>
  <c r="O18" i="59"/>
  <c r="N18" i="59"/>
  <c r="X18" i="59"/>
  <c r="Q17" i="59"/>
  <c r="P17" i="59"/>
  <c r="AA17" i="59"/>
  <c r="O17" i="59"/>
  <c r="N17" i="59"/>
  <c r="X17" i="59"/>
  <c r="Q16" i="59"/>
  <c r="P16" i="59"/>
  <c r="AA16" i="59"/>
  <c r="O16" i="59"/>
  <c r="N16" i="59"/>
  <c r="X16" i="59"/>
  <c r="Q15" i="59"/>
  <c r="F16" i="59"/>
  <c r="P15" i="59"/>
  <c r="E16" i="59"/>
  <c r="E17" i="59"/>
  <c r="E18" i="59"/>
  <c r="U18" i="59"/>
  <c r="O15" i="59"/>
  <c r="Y15" i="59"/>
  <c r="Z15" i="59"/>
  <c r="N15" i="59"/>
  <c r="X15" i="59"/>
  <c r="D15" i="59"/>
  <c r="Q14" i="59"/>
  <c r="AB14" i="59"/>
  <c r="P14" i="59"/>
  <c r="O14" i="59"/>
  <c r="Y14" i="59"/>
  <c r="Z14" i="59"/>
  <c r="N14" i="59"/>
  <c r="Q13" i="59"/>
  <c r="AB13" i="59"/>
  <c r="P13" i="59"/>
  <c r="O13" i="59"/>
  <c r="Y13" i="59"/>
  <c r="Z13" i="59"/>
  <c r="N13" i="59"/>
  <c r="Q12" i="59"/>
  <c r="AB12" i="59"/>
  <c r="P12" i="59"/>
  <c r="O12" i="59"/>
  <c r="Y12" i="59"/>
  <c r="Z12" i="59"/>
  <c r="N12" i="59"/>
  <c r="Q11" i="59"/>
  <c r="AB11" i="59"/>
  <c r="P11" i="59"/>
  <c r="AA11" i="59"/>
  <c r="O11" i="59"/>
  <c r="C12" i="59"/>
  <c r="C13" i="59"/>
  <c r="N11" i="59"/>
  <c r="B12" i="59"/>
  <c r="B13" i="59"/>
  <c r="B14" i="59"/>
  <c r="S14" i="59"/>
  <c r="D11" i="59"/>
  <c r="X3" i="59"/>
  <c r="X8" i="59"/>
  <c r="X10" i="59"/>
  <c r="AA7" i="59"/>
  <c r="AA9" i="59"/>
  <c r="Y7" i="59"/>
  <c r="Z7" i="59"/>
  <c r="Y8" i="59"/>
  <c r="Z8" i="59"/>
  <c r="Y9" i="59"/>
  <c r="Z9" i="59"/>
  <c r="Y10" i="59"/>
  <c r="Z10" i="59"/>
  <c r="Y3" i="59"/>
  <c r="Z3" i="59"/>
  <c r="AB10" i="59"/>
  <c r="AB7" i="59"/>
  <c r="AB9" i="59"/>
  <c r="E12" i="59"/>
  <c r="E13" i="59"/>
  <c r="E14" i="59"/>
  <c r="U14" i="59"/>
  <c r="B33" i="59"/>
  <c r="B34" i="59"/>
  <c r="S34" i="59"/>
  <c r="E33" i="59"/>
  <c r="E34" i="59"/>
  <c r="U34" i="59"/>
  <c r="S50" i="59"/>
  <c r="Z20" i="59"/>
  <c r="AA21" i="59"/>
  <c r="F17" i="59"/>
  <c r="F18" i="59"/>
  <c r="V18" i="59"/>
  <c r="F25" i="59"/>
  <c r="F26" i="59"/>
  <c r="V26" i="59"/>
  <c r="F37" i="59"/>
  <c r="F38" i="59"/>
  <c r="V38" i="59"/>
  <c r="F45" i="59"/>
  <c r="F46" i="59"/>
  <c r="V46" i="59"/>
  <c r="D12" i="59"/>
  <c r="C21" i="59"/>
  <c r="D20" i="59"/>
  <c r="C29" i="59"/>
  <c r="D29" i="59"/>
  <c r="D28" i="59"/>
  <c r="C33" i="59"/>
  <c r="D32" i="59"/>
  <c r="C41" i="59"/>
  <c r="D40" i="59"/>
  <c r="E48" i="59"/>
  <c r="Q49" i="59"/>
  <c r="T50" i="59"/>
  <c r="O50" i="59"/>
  <c r="D50" i="59"/>
  <c r="C49" i="59"/>
  <c r="P50" i="59"/>
  <c r="U50" i="59"/>
  <c r="Q50" i="59"/>
  <c r="C53" i="59"/>
  <c r="E53" i="59"/>
  <c r="E52" i="59"/>
  <c r="D54" i="59"/>
  <c r="C57" i="59"/>
  <c r="E57" i="59"/>
  <c r="E56" i="59"/>
  <c r="D58" i="59"/>
  <c r="C61" i="59"/>
  <c r="E61" i="59"/>
  <c r="E60" i="59"/>
  <c r="D62" i="59"/>
  <c r="C65" i="59"/>
  <c r="C69" i="59"/>
  <c r="D69" i="59"/>
  <c r="U16" i="4"/>
  <c r="S16" i="4"/>
  <c r="Q16" i="4"/>
  <c r="O16" i="4"/>
  <c r="N16" i="4"/>
  <c r="M16" i="4"/>
  <c r="K16" i="4"/>
  <c r="P47" i="59"/>
  <c r="P48" i="59"/>
  <c r="C68" i="59"/>
  <c r="D68" i="59"/>
  <c r="D61" i="59"/>
  <c r="C60" i="59"/>
  <c r="D60" i="59"/>
  <c r="D53" i="59"/>
  <c r="C52" i="59"/>
  <c r="D52" i="59"/>
  <c r="C48" i="59"/>
  <c r="D48" i="59"/>
  <c r="O49" i="59"/>
  <c r="D49" i="59"/>
  <c r="D65" i="59"/>
  <c r="C64" i="59"/>
  <c r="D64" i="59"/>
  <c r="D57" i="59"/>
  <c r="C56" i="59"/>
  <c r="D56" i="59"/>
  <c r="D41" i="59"/>
  <c r="C42" i="59"/>
  <c r="D42" i="59"/>
  <c r="C34" i="59"/>
  <c r="D33" i="59"/>
  <c r="C22" i="59"/>
  <c r="D21" i="59"/>
  <c r="T42" i="59"/>
  <c r="T22" i="59"/>
  <c r="D22" i="59"/>
  <c r="T34" i="59"/>
  <c r="D34" i="59"/>
  <c r="O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Q27" i="40"/>
  <c r="Z27" i="40"/>
  <c r="D96" i="40"/>
  <c r="E96" i="40"/>
  <c r="F27" i="40"/>
  <c r="AA27" i="40"/>
  <c r="Q31" i="39"/>
  <c r="Z31" i="39"/>
  <c r="D105" i="39"/>
  <c r="E105" i="39"/>
  <c r="F105" i="39"/>
  <c r="G105" i="39"/>
  <c r="F31" i="39"/>
  <c r="AA31" i="39"/>
  <c r="G20" i="20"/>
  <c r="B85" i="46"/>
  <c r="C22" i="20"/>
  <c r="B65" i="46"/>
  <c r="S18" i="36"/>
  <c r="S21" i="37"/>
  <c r="S27" i="40"/>
  <c r="C27" i="40"/>
  <c r="C31" i="39"/>
  <c r="B74" i="46"/>
  <c r="E66" i="36"/>
  <c r="H18" i="35"/>
  <c r="J18" i="35"/>
  <c r="H21" i="37"/>
  <c r="J21" i="37"/>
  <c r="E84" i="34"/>
  <c r="F84" i="34"/>
  <c r="G84" i="34"/>
  <c r="J21" i="34"/>
  <c r="H21" i="34"/>
  <c r="F21" i="33"/>
  <c r="H21" i="33"/>
  <c r="J21" i="33"/>
  <c r="H21" i="21"/>
  <c r="J21" i="21"/>
  <c r="F96" i="40"/>
  <c r="H27" i="40"/>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2" i="1"/>
  <c r="AE13" i="1"/>
  <c r="M47"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C42" i="1"/>
  <c r="A12" i="1"/>
  <c r="R12" i="1"/>
  <c r="A13" i="1"/>
  <c r="B13" i="1"/>
  <c r="E13" i="1"/>
  <c r="A7" i="1"/>
  <c r="A8" i="1"/>
  <c r="A9" i="1"/>
  <c r="A10" i="1"/>
  <c r="A11" i="1"/>
  <c r="A6" i="1"/>
  <c r="T4" i="1"/>
  <c r="K12" i="1"/>
  <c r="M12"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Q5"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1" i="1"/>
  <c r="F9" i="1"/>
  <c r="F19" i="4"/>
  <c r="F8" i="1"/>
  <c r="E19" i="4"/>
  <c r="F10" i="1"/>
  <c r="AP10"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D113" i="33"/>
  <c r="F37" i="33"/>
  <c r="AA37" i="33"/>
  <c r="D111" i="33"/>
  <c r="E111" i="33"/>
  <c r="F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E115" i="40"/>
  <c r="J38" i="40"/>
  <c r="AC38"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D122" i="39"/>
  <c r="E122" i="39"/>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AC8" i="34"/>
  <c r="H8" i="34"/>
  <c r="U8" i="34"/>
  <c r="F8" i="34"/>
  <c r="AA8" i="34"/>
  <c r="C7" i="34"/>
  <c r="D121" i="33"/>
  <c r="J41" i="33"/>
  <c r="AC41" i="33"/>
  <c r="F109" i="33"/>
  <c r="E109" i="33"/>
  <c r="D109" i="33"/>
  <c r="C109" i="33"/>
  <c r="D91" i="33"/>
  <c r="E91" i="33"/>
  <c r="B88" i="33"/>
  <c r="J26" i="33"/>
  <c r="AC26" i="33"/>
  <c r="C23" i="33"/>
  <c r="C19" i="33"/>
  <c r="C17" i="33"/>
  <c r="C15" i="33"/>
  <c r="C15" i="21"/>
  <c r="D125" i="33"/>
  <c r="D123" i="33"/>
  <c r="D117" i="33"/>
  <c r="D115" i="33"/>
  <c r="E115" i="33"/>
  <c r="F115" i="33"/>
  <c r="G115" i="33"/>
  <c r="H115" i="33"/>
  <c r="I115" i="33"/>
  <c r="J115" i="33"/>
  <c r="K115" i="33"/>
  <c r="L115" i="33"/>
  <c r="M115" i="33"/>
  <c r="D108" i="33"/>
  <c r="E108" i="33"/>
  <c r="F108" i="33"/>
  <c r="G108" i="33"/>
  <c r="H108" i="33"/>
  <c r="I108" i="33"/>
  <c r="J108" i="33"/>
  <c r="K108" i="33"/>
  <c r="L108" i="33"/>
  <c r="M108" i="33"/>
  <c r="D106" i="33"/>
  <c r="H34"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9" i="33"/>
  <c r="AB9" i="33"/>
  <c r="H54" i="33"/>
  <c r="P49" i="33"/>
  <c r="P48" i="33"/>
  <c r="V47" i="33"/>
  <c r="T47" i="33"/>
  <c r="R47" i="33"/>
  <c r="P47" i="33"/>
  <c r="Q46" i="33"/>
  <c r="Z46" i="33"/>
  <c r="Q45" i="33"/>
  <c r="Z45" i="33"/>
  <c r="Q44" i="33"/>
  <c r="Z44" i="33"/>
  <c r="Q43" i="33"/>
  <c r="Z43" i="33"/>
  <c r="Q42" i="33"/>
  <c r="Z42" i="33"/>
  <c r="Q41" i="33"/>
  <c r="Z41" i="33"/>
  <c r="Q40" i="33"/>
  <c r="Z40" i="33"/>
  <c r="J40" i="33"/>
  <c r="AC40" i="33"/>
  <c r="H40" i="33"/>
  <c r="AA40" i="33"/>
  <c r="Q39" i="33"/>
  <c r="Z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F9" i="33"/>
  <c r="AA9" i="33"/>
  <c r="J8" i="33"/>
  <c r="W8" i="33"/>
  <c r="H8" i="33"/>
  <c r="F8" i="33"/>
  <c r="C7" i="33"/>
  <c r="M102" i="21"/>
  <c r="D102" i="21"/>
  <c r="E102" i="21"/>
  <c r="F102" i="21"/>
  <c r="G102" i="21"/>
  <c r="H102" i="21"/>
  <c r="I102" i="21"/>
  <c r="J102" i="21"/>
  <c r="K102" i="21"/>
  <c r="L102" i="21"/>
  <c r="C102" i="21"/>
  <c r="C63" i="21"/>
  <c r="F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D66" i="21"/>
  <c r="E66" i="21"/>
  <c r="F66" i="21"/>
  <c r="G66" i="21"/>
  <c r="H66" i="21"/>
  <c r="I66" i="21"/>
  <c r="D111" i="21"/>
  <c r="E111" i="21"/>
  <c r="F111" i="21"/>
  <c r="C111" i="21"/>
  <c r="D79" i="21"/>
  <c r="E79" i="21"/>
  <c r="D85" i="21"/>
  <c r="E85" i="21"/>
  <c r="D81" i="21"/>
  <c r="E81" i="21"/>
  <c r="D77" i="21"/>
  <c r="E77" i="2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G5" i="3"/>
  <c r="BH13" i="3"/>
  <c r="BI13" i="3"/>
  <c r="BI5" i="3"/>
  <c r="BJ13" i="3"/>
  <c r="BK13" i="3"/>
  <c r="BM13" i="3"/>
  <c r="BN13" i="3"/>
  <c r="BO13" i="3"/>
  <c r="BP13" i="3"/>
  <c r="BS13" i="3"/>
  <c r="BT13" i="3"/>
  <c r="BB570" i="3"/>
  <c r="BC570" i="3"/>
  <c r="BA570" i="3"/>
  <c r="AZ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S40" i="33"/>
  <c r="S33" i="33"/>
  <c r="W8" i="21"/>
  <c r="H39" i="37"/>
  <c r="AB39" i="37"/>
  <c r="AB27" i="35"/>
  <c r="S10" i="40"/>
  <c r="W10" i="40"/>
  <c r="S11" i="40"/>
  <c r="U11" i="40"/>
  <c r="S36" i="40"/>
  <c r="U36" i="40"/>
  <c r="S36" i="39"/>
  <c r="AC40" i="21"/>
  <c r="C29" i="39"/>
  <c r="C23" i="39"/>
  <c r="U36" i="39"/>
  <c r="F100" i="40"/>
  <c r="F86" i="40"/>
  <c r="AA12" i="33"/>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W8" i="34"/>
  <c r="J28" i="34"/>
  <c r="W28" i="34"/>
  <c r="E113" i="33"/>
  <c r="F113" i="33"/>
  <c r="G113" i="33"/>
  <c r="H113" i="33"/>
  <c r="I113" i="33"/>
  <c r="J113" i="33"/>
  <c r="K113" i="33"/>
  <c r="L113" i="33"/>
  <c r="M113" i="33"/>
  <c r="F19" i="33"/>
  <c r="S19" i="33"/>
  <c r="J19" i="33"/>
  <c r="W19" i="33"/>
  <c r="S10" i="21"/>
  <c r="W40" i="33"/>
  <c r="G86" i="40"/>
  <c r="AB30" i="36"/>
  <c r="AC34" i="36"/>
  <c r="H29" i="35"/>
  <c r="U34" i="37"/>
  <c r="S34" i="37"/>
  <c r="AA34" i="37"/>
  <c r="AC43" i="34"/>
  <c r="AB42" i="34"/>
  <c r="AB40" i="34"/>
  <c r="W36" i="34"/>
  <c r="J19" i="34"/>
  <c r="AC19" i="34"/>
  <c r="H37" i="33"/>
  <c r="AB37" i="33"/>
  <c r="W43" i="34"/>
  <c r="AC42" i="34"/>
  <c r="W42" i="34"/>
  <c r="AA42" i="34"/>
  <c r="S42" i="34"/>
  <c r="AC38" i="34"/>
  <c r="W38" i="34"/>
  <c r="AA38" i="34"/>
  <c r="S38" i="34"/>
  <c r="J37" i="33"/>
  <c r="W37" i="33"/>
  <c r="J44" i="34"/>
  <c r="AC44" i="34"/>
  <c r="F44" i="34"/>
  <c r="S44" i="34"/>
  <c r="J10" i="35"/>
  <c r="W10" i="35"/>
  <c r="AL5" i="3"/>
  <c r="BQ13" i="3"/>
  <c r="BL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BA569" i="3"/>
  <c r="BA565" i="3"/>
  <c r="BA561" i="3"/>
  <c r="AZ561" i="3"/>
  <c r="BA559" i="3"/>
  <c r="AZ559" i="3"/>
  <c r="BA557" i="3"/>
  <c r="AZ557" i="3"/>
  <c r="BA555" i="3"/>
  <c r="AZ555" i="3"/>
  <c r="BA551" i="3"/>
  <c r="AZ551" i="3"/>
  <c r="BA545" i="3"/>
  <c r="AZ545" i="3"/>
  <c r="BA543" i="3"/>
  <c r="BA541" i="3"/>
  <c r="AZ541" i="3"/>
  <c r="BA531" i="3"/>
  <c r="BA521" i="3"/>
  <c r="BA509" i="3"/>
  <c r="BA505" i="3"/>
  <c r="BA501" i="3"/>
  <c r="AZ501" i="3"/>
  <c r="BA493" i="3"/>
  <c r="AZ493" i="3"/>
  <c r="BA487" i="3"/>
  <c r="BA572" i="3"/>
  <c r="AZ572" i="3"/>
  <c r="BA566" i="3"/>
  <c r="BA562" i="3"/>
  <c r="BA560" i="3"/>
  <c r="BA558" i="3"/>
  <c r="BA556" i="3"/>
  <c r="BA554" i="3"/>
  <c r="BA550" i="3"/>
  <c r="BA546" i="3"/>
  <c r="BA544" i="3"/>
  <c r="BA540" i="3"/>
  <c r="BA536" i="3"/>
  <c r="BA532" i="3"/>
  <c r="BA528" i="3"/>
  <c r="BA524" i="3"/>
  <c r="BA520" i="3"/>
  <c r="AZ520" i="3"/>
  <c r="BA516" i="3"/>
  <c r="BA512" i="3"/>
  <c r="BA508" i="3"/>
  <c r="BA502" i="3"/>
  <c r="BA498" i="3"/>
  <c r="BA492" i="3"/>
  <c r="AZ492" i="3"/>
  <c r="BA488" i="3"/>
  <c r="BA484" i="3"/>
  <c r="G566" i="3"/>
  <c r="G562" i="3"/>
  <c r="G560" i="3"/>
  <c r="G558" i="3"/>
  <c r="G556" i="3"/>
  <c r="G554" i="3"/>
  <c r="G550" i="3"/>
  <c r="G546" i="3"/>
  <c r="BL543" i="3"/>
  <c r="AZ543" i="3"/>
  <c r="BA542" i="3"/>
  <c r="AZ542" i="3"/>
  <c r="AC542" i="3"/>
  <c r="G542" i="3"/>
  <c r="BQ542" i="3"/>
  <c r="BL542" i="3"/>
  <c r="BQ568" i="3"/>
  <c r="BQ566" i="3"/>
  <c r="BQ564" i="3"/>
  <c r="BL564" i="3"/>
  <c r="AZ564" i="3"/>
  <c r="BQ562" i="3"/>
  <c r="BL562" i="3"/>
  <c r="AZ562" i="3"/>
  <c r="BQ560" i="3"/>
  <c r="BL560" i="3"/>
  <c r="BQ558" i="3"/>
  <c r="BL558" i="3"/>
  <c r="BQ556" i="3"/>
  <c r="BL556" i="3"/>
  <c r="AZ556" i="3"/>
  <c r="BQ554" i="3"/>
  <c r="BQ552" i="3"/>
  <c r="BL552" i="3"/>
  <c r="BQ550" i="3"/>
  <c r="BL550" i="3"/>
  <c r="AZ550" i="3"/>
  <c r="BQ548" i="3"/>
  <c r="BQ546" i="3"/>
  <c r="BL546" i="3"/>
  <c r="AZ546" i="3"/>
  <c r="BQ544" i="3"/>
  <c r="BL544" i="3"/>
  <c r="AZ544" i="3"/>
  <c r="G544" i="3"/>
  <c r="G538" i="3"/>
  <c r="G534" i="3"/>
  <c r="G530" i="3"/>
  <c r="G526" i="3"/>
  <c r="G522" i="3"/>
  <c r="BQ540" i="3"/>
  <c r="BL540" i="3"/>
  <c r="BQ538" i="3"/>
  <c r="BL538" i="3"/>
  <c r="BQ536" i="3"/>
  <c r="BQ534" i="3"/>
  <c r="BL534" i="3"/>
  <c r="BQ532" i="3"/>
  <c r="BL532" i="3"/>
  <c r="AZ532" i="3"/>
  <c r="BQ530" i="3"/>
  <c r="BQ528" i="3"/>
  <c r="BQ526" i="3"/>
  <c r="BL526" i="3"/>
  <c r="BQ524" i="3"/>
  <c r="BL524" i="3"/>
  <c r="AZ524" i="3"/>
  <c r="BQ522" i="3"/>
  <c r="BQ520" i="3"/>
  <c r="BL520" i="3"/>
  <c r="BQ518" i="3"/>
  <c r="BQ516" i="3"/>
  <c r="BL516" i="3"/>
  <c r="AZ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BQ492" i="3"/>
  <c r="BL492" i="3"/>
  <c r="BQ490" i="3"/>
  <c r="BQ488" i="3"/>
  <c r="BL488" i="3"/>
  <c r="AZ488" i="3"/>
  <c r="BQ486" i="3"/>
  <c r="BQ484" i="3"/>
  <c r="BL484" i="3"/>
  <c r="AZ484" i="3"/>
  <c r="BQ482" i="3"/>
  <c r="BL482" i="3"/>
  <c r="BQ20" i="3"/>
  <c r="BL20" i="3"/>
  <c r="BQ18" i="3"/>
  <c r="S505" i="31"/>
  <c r="S503" i="31"/>
  <c r="S501" i="31"/>
  <c r="S499" i="31"/>
  <c r="O27" i="31"/>
  <c r="O28" i="31"/>
  <c r="O26" i="31"/>
  <c r="M27" i="31"/>
  <c r="M28" i="31"/>
  <c r="M26" i="31"/>
  <c r="I26" i="31"/>
  <c r="I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J42"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S27" i="37"/>
  <c r="U39" i="37"/>
  <c r="AC8" i="37"/>
  <c r="S25" i="37"/>
  <c r="AC36" i="34"/>
  <c r="AB8" i="34"/>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AZ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G359" i="3"/>
  <c r="BA360" i="3"/>
  <c r="AZ360" i="3"/>
  <c r="BA361" i="3"/>
  <c r="BL361" i="3"/>
  <c r="AZ361" i="3"/>
  <c r="G362" i="3"/>
  <c r="BA363" i="3"/>
  <c r="AZ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AZ355" i="3"/>
  <c r="BL355" i="3"/>
  <c r="G356" i="3"/>
  <c r="AZ127" i="3"/>
  <c r="AZ143"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508" i="3"/>
  <c r="AC29" i="33"/>
  <c r="AA45" i="33"/>
  <c r="AC11" i="36"/>
  <c r="AC10" i="36"/>
  <c r="AB45" i="34"/>
  <c r="AC14" i="37"/>
  <c r="AB35" i="35"/>
  <c r="S25" i="35"/>
  <c r="W44" i="33"/>
  <c r="AC30" i="33"/>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F40" i="21"/>
  <c r="S40" i="21"/>
  <c r="H40" i="21"/>
  <c r="AB40" i="21"/>
  <c r="E119" i="21"/>
  <c r="F119" i="21"/>
  <c r="G119" i="21"/>
  <c r="H119" i="21"/>
  <c r="I119" i="21"/>
  <c r="J119" i="21"/>
  <c r="K119" i="21"/>
  <c r="L119" i="21"/>
  <c r="M119" i="21"/>
  <c r="AA8" i="33"/>
  <c r="S8" i="33"/>
  <c r="H66" i="33"/>
  <c r="F10" i="33"/>
  <c r="AA10" i="33"/>
  <c r="F11" i="33"/>
  <c r="S11" i="33"/>
  <c r="H19" i="33"/>
  <c r="AB19"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AC45" i="21"/>
  <c r="S14" i="21"/>
  <c r="AA44" i="34"/>
  <c r="AB29" i="35"/>
  <c r="U29" i="35"/>
  <c r="U43" i="34"/>
  <c r="AB43" i="34"/>
  <c r="AC34" i="37"/>
  <c r="S35" i="37"/>
  <c r="AA35" i="37"/>
  <c r="AB10" i="35"/>
  <c r="AA32" i="21"/>
  <c r="AB34"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AB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BA18" i="3"/>
  <c r="AZ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G92" i="40"/>
  <c r="H23" i="40"/>
  <c r="U23" i="40"/>
  <c r="H41" i="40"/>
  <c r="AB41" i="40"/>
  <c r="F41" i="40"/>
  <c r="AA41" i="40"/>
  <c r="J41" i="40"/>
  <c r="W41" i="40"/>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J13" i="40"/>
  <c r="W13" i="40"/>
  <c r="AB14" i="40"/>
  <c r="AC14" i="40"/>
  <c r="S33" i="40"/>
  <c r="AC47" i="39"/>
  <c r="S47" i="39"/>
  <c r="U37" i="34"/>
  <c r="AB37" i="34"/>
  <c r="AC41" i="40"/>
  <c r="U41" i="40"/>
  <c r="J23" i="40"/>
  <c r="AC23"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U16" i="40"/>
  <c r="W34" i="40"/>
  <c r="AB34" i="40"/>
  <c r="AB42" i="40"/>
  <c r="U42" i="40"/>
  <c r="AC16" i="40"/>
  <c r="W32" i="40"/>
  <c r="H25" i="40"/>
  <c r="AB25" i="40"/>
  <c r="F94" i="40"/>
  <c r="G94" i="40"/>
  <c r="U47" i="39"/>
  <c r="W15" i="39"/>
  <c r="J37" i="34"/>
  <c r="AC37" i="34"/>
  <c r="S41" i="40"/>
  <c r="AB23" i="40"/>
  <c r="H23" i="39"/>
  <c r="AB23" i="39"/>
  <c r="J23" i="39"/>
  <c r="AC23" i="39"/>
  <c r="F97" i="39"/>
  <c r="G97" i="39"/>
  <c r="S16" i="39"/>
  <c r="S15" i="34"/>
  <c r="AA15" i="34"/>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H11" i="33"/>
  <c r="U11" i="33"/>
  <c r="H10" i="33"/>
  <c r="U10" i="33"/>
  <c r="I66" i="33"/>
  <c r="J10" i="33"/>
  <c r="AC10" i="33"/>
  <c r="U11" i="37"/>
  <c r="AC16" i="35"/>
  <c r="AC13" i="40"/>
  <c r="J11" i="34"/>
  <c r="W11" i="34"/>
  <c r="S17" i="34"/>
  <c r="F25" i="40"/>
  <c r="AA25" i="40"/>
  <c r="J11" i="33"/>
  <c r="W11" i="33"/>
  <c r="H33" i="37"/>
  <c r="AB33" i="37"/>
  <c r="W15" i="34"/>
  <c r="AC15" i="34"/>
  <c r="U20" i="35"/>
  <c r="AB20" i="35"/>
  <c r="W23" i="40"/>
  <c r="D73" i="9"/>
  <c r="N73" i="9"/>
  <c r="AP11" i="1"/>
  <c r="B11" i="1"/>
  <c r="E11" i="1"/>
  <c r="K11" i="1"/>
  <c r="M11" i="1"/>
  <c r="O11" i="1"/>
  <c r="P11" i="1"/>
  <c r="B9" i="1"/>
  <c r="E9" i="1"/>
  <c r="K9" i="1"/>
  <c r="M9" i="1"/>
  <c r="O9" i="1"/>
  <c r="B7" i="1"/>
  <c r="E7" i="1"/>
  <c r="K7" i="1"/>
  <c r="M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S29" i="33"/>
  <c r="W31" i="33"/>
  <c r="W43" i="33"/>
  <c r="U46" i="33"/>
  <c r="W26" i="33"/>
  <c r="S14" i="33"/>
  <c r="AC21" i="33"/>
  <c r="W21" i="33"/>
  <c r="W14" i="33"/>
  <c r="AB21" i="33"/>
  <c r="U21" i="33"/>
  <c r="AA21" i="33"/>
  <c r="S21" i="33"/>
  <c r="AA44"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AB15" i="39"/>
  <c r="U23" i="39"/>
  <c r="AB38" i="39"/>
  <c r="U31" i="39"/>
  <c r="AB31" i="39"/>
  <c r="S38" i="39"/>
  <c r="D18" i="9"/>
  <c r="M44" i="9"/>
  <c r="M43" i="9"/>
  <c r="M20" i="15"/>
  <c r="D96" i="9"/>
  <c r="BA16" i="3"/>
  <c r="AZ16" i="3"/>
  <c r="BA17" i="3"/>
  <c r="AZ17" i="3"/>
  <c r="F3" i="35"/>
  <c r="K1" i="43"/>
  <c r="K1" i="12"/>
  <c r="G1" i="44"/>
  <c r="AZ15" i="3"/>
  <c r="BK5" i="3"/>
  <c r="BO5" i="3"/>
  <c r="BP5" i="3"/>
  <c r="BN5" i="3"/>
  <c r="BL18" i="3"/>
  <c r="BC5" i="3"/>
  <c r="BD5" i="3"/>
  <c r="BR5" i="3"/>
  <c r="G28" i="6"/>
  <c r="BS5" i="3"/>
  <c r="BL16" i="3"/>
  <c r="BM5" i="3"/>
  <c r="BA13" i="3"/>
  <c r="H48" i="46"/>
  <c r="H52" i="46"/>
  <c r="H53" i="46"/>
  <c r="D24" i="44"/>
  <c r="D26" i="44"/>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46" i="50"/>
  <c r="B4" i="63"/>
  <c r="C59" i="34"/>
  <c r="D59" i="34"/>
  <c r="E59" i="34"/>
  <c r="F59" i="34"/>
  <c r="G59" i="34"/>
  <c r="H59" i="34"/>
  <c r="I59" i="34"/>
  <c r="J59" i="34"/>
  <c r="C52" i="37"/>
  <c r="D52" i="37"/>
  <c r="E52" i="37"/>
  <c r="F52" i="37"/>
  <c r="G52" i="37"/>
  <c r="H52" i="37"/>
  <c r="P24" i="46"/>
  <c r="B68" i="40"/>
  <c r="P25" i="46"/>
  <c r="B73" i="39"/>
  <c r="P23" i="46"/>
  <c r="P21" i="46"/>
  <c r="P22" i="46"/>
  <c r="O19" i="46"/>
  <c r="H77" i="46"/>
  <c r="H73" i="46"/>
  <c r="H69" i="46"/>
  <c r="H74" i="46"/>
  <c r="H86" i="46"/>
  <c r="H82" i="46"/>
  <c r="H63" i="46"/>
  <c r="H59" i="46"/>
  <c r="H64" i="46"/>
  <c r="H60" i="46"/>
  <c r="H10" i="48"/>
  <c r="H87" i="46"/>
  <c r="H85" i="46"/>
  <c r="H83" i="46"/>
  <c r="K10" i="1"/>
  <c r="M10" i="1"/>
  <c r="S13" i="1"/>
  <c r="R13" i="1"/>
  <c r="B6" i="1"/>
  <c r="E6" i="1"/>
  <c r="B10" i="1"/>
  <c r="E10" i="1"/>
  <c r="B8" i="1"/>
  <c r="E8" i="1"/>
  <c r="B12" i="1"/>
  <c r="E12" i="1"/>
  <c r="S12" i="1"/>
  <c r="K6" i="1"/>
  <c r="M6" i="1"/>
  <c r="G1" i="15"/>
  <c r="F66" i="36"/>
  <c r="H18" i="36"/>
  <c r="AB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14" i="33"/>
  <c r="AB12" i="33"/>
  <c r="S39" i="21"/>
  <c r="AB25" i="21"/>
  <c r="AB45" i="21"/>
  <c r="W25" i="21"/>
  <c r="AA25" i="21"/>
  <c r="AA29" i="21"/>
  <c r="U27" i="21"/>
  <c r="W31" i="21"/>
  <c r="S27" i="21"/>
  <c r="AC27" i="21"/>
  <c r="W29" i="21"/>
  <c r="G96" i="40"/>
  <c r="J27" i="40"/>
  <c r="W27" i="40"/>
  <c r="W37" i="40"/>
  <c r="S17" i="40"/>
  <c r="W30" i="40"/>
  <c r="S34" i="40"/>
  <c r="U17" i="40"/>
  <c r="U38" i="40"/>
  <c r="S40" i="40"/>
  <c r="S42" i="40"/>
  <c r="J31" i="39"/>
  <c r="W31" i="39"/>
  <c r="S45" i="39"/>
  <c r="AB33" i="39"/>
  <c r="AC46" i="39"/>
  <c r="W36" i="39"/>
  <c r="AC37" i="39"/>
  <c r="U14" i="39"/>
  <c r="W16" i="39"/>
  <c r="S15" i="39"/>
  <c r="W25" i="39"/>
  <c r="W45" i="39"/>
  <c r="AA46" i="39"/>
  <c r="W40" i="39"/>
  <c r="S32" i="40"/>
  <c r="C27" i="39"/>
  <c r="C17" i="40"/>
  <c r="C19" i="40"/>
  <c r="C19" i="39"/>
  <c r="C21" i="39"/>
  <c r="C23" i="40"/>
  <c r="B48" i="46"/>
  <c r="B51" i="46"/>
  <c r="B55" i="46"/>
  <c r="B59" i="46"/>
  <c r="B62" i="46"/>
  <c r="B66" i="46"/>
  <c r="B53" i="46"/>
  <c r="B64" i="46"/>
  <c r="G6" i="1"/>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G29" i="6"/>
  <c r="H70" i="46"/>
  <c r="H72" i="46"/>
  <c r="A9" i="64"/>
  <c r="A9" i="51"/>
  <c r="B9" i="63"/>
  <c r="G39" i="46"/>
  <c r="I39" i="46"/>
  <c r="G66" i="36"/>
  <c r="J18" i="36"/>
  <c r="AC18" i="36"/>
  <c r="AE8" i="1"/>
  <c r="AE7" i="1"/>
  <c r="AE6" i="1"/>
  <c r="W18" i="36"/>
  <c r="AG6" i="1"/>
  <c r="L20" i="6"/>
  <c r="L19" i="6"/>
  <c r="C45" i="9"/>
  <c r="H14" i="66"/>
  <c r="B7" i="66"/>
  <c r="O40" i="9"/>
  <c r="K31" i="9"/>
  <c r="K32" i="9"/>
  <c r="R7" i="54"/>
  <c r="B52" i="63"/>
  <c r="N76" i="9"/>
  <c r="C46" i="9"/>
  <c r="F33" i="44"/>
  <c r="F31" i="15"/>
  <c r="L47" i="15"/>
  <c r="M28" i="44"/>
  <c r="F9" i="15"/>
  <c r="I5" i="65"/>
  <c r="M30" i="44"/>
  <c r="F45" i="44"/>
  <c r="M9" i="15"/>
  <c r="F12" i="67"/>
  <c r="M29" i="15"/>
  <c r="F46" i="44"/>
  <c r="E8" i="67"/>
  <c r="J17" i="44"/>
  <c r="M28" i="15"/>
  <c r="I4" i="65"/>
  <c r="B9" i="67"/>
  <c r="F8" i="67"/>
  <c r="B8" i="67"/>
  <c r="F8" i="44"/>
  <c r="L48" i="44"/>
  <c r="J4" i="65"/>
  <c r="N4" i="65"/>
  <c r="J6" i="65"/>
  <c r="M24" i="15"/>
  <c r="M26" i="44"/>
  <c r="M6" i="15"/>
  <c r="M10" i="44"/>
  <c r="F11" i="44"/>
  <c r="F15" i="44"/>
  <c r="F10" i="44"/>
  <c r="F36" i="15"/>
  <c r="L49" i="44"/>
  <c r="M29" i="44"/>
  <c r="M31" i="44"/>
  <c r="E10" i="67"/>
  <c r="E13" i="67"/>
  <c r="F28" i="44"/>
  <c r="F43" i="15"/>
  <c r="J36" i="15"/>
  <c r="B11" i="67"/>
  <c r="F9" i="67"/>
  <c r="B13" i="67"/>
  <c r="N7" i="65"/>
  <c r="F13" i="67"/>
  <c r="I3" i="65"/>
  <c r="E14" i="67"/>
  <c r="J7" i="65"/>
  <c r="F40" i="44"/>
  <c r="N5" i="65"/>
  <c r="N3" i="65"/>
  <c r="J5" i="65"/>
  <c r="F39" i="44"/>
  <c r="B10" i="67"/>
  <c r="I6" i="65"/>
  <c r="M24" i="44"/>
  <c r="F43" i="44"/>
  <c r="F18" i="44"/>
  <c r="M25" i="44"/>
  <c r="F40" i="15"/>
  <c r="J3" i="65"/>
  <c r="F16" i="15"/>
  <c r="I7" i="65"/>
  <c r="B14" i="67"/>
  <c r="F37" i="15"/>
  <c r="M8" i="44"/>
  <c r="F9" i="44"/>
  <c r="F10" i="67"/>
  <c r="B12" i="67"/>
  <c r="F11" i="67"/>
  <c r="F38" i="44"/>
  <c r="E9" i="67"/>
  <c r="F14" i="67"/>
  <c r="E11" i="67"/>
  <c r="E12" i="67"/>
  <c r="M11" i="44"/>
  <c r="N6" i="65"/>
  <c r="BA32" i="3"/>
  <c r="BA33" i="3"/>
  <c r="AZ33" i="3"/>
  <c r="BA34" i="3"/>
  <c r="AZ34" i="3"/>
  <c r="F28" i="6"/>
  <c r="U33" i="33"/>
  <c r="D24" i="15"/>
  <c r="G21" i="43"/>
  <c r="G22" i="43"/>
  <c r="G23" i="43"/>
  <c r="G26" i="12"/>
  <c r="G28" i="12"/>
  <c r="W33" i="33"/>
  <c r="G31" i="3"/>
  <c r="G30" i="3"/>
  <c r="G14" i="3"/>
  <c r="AZ13" i="3"/>
  <c r="AC42" i="33"/>
  <c r="W42" i="33"/>
  <c r="AA12" i="21"/>
  <c r="S12" i="21"/>
  <c r="S9" i="21"/>
  <c r="AA9" i="21"/>
  <c r="AB9" i="34"/>
  <c r="U9" i="34"/>
  <c r="AC23" i="37"/>
  <c r="C58" i="33"/>
  <c r="D58" i="33"/>
  <c r="G7" i="33"/>
  <c r="I7" i="33"/>
  <c r="E7" i="33"/>
  <c r="E117" i="33"/>
  <c r="F117" i="33"/>
  <c r="G117" i="33"/>
  <c r="J39" i="33"/>
  <c r="E28" i="6"/>
  <c r="K14" i="1"/>
  <c r="M14" i="1"/>
  <c r="AB32" i="40"/>
  <c r="W35" i="40"/>
  <c r="W40" i="40"/>
  <c r="H47" i="46"/>
  <c r="U12" i="37"/>
  <c r="U30" i="33"/>
  <c r="S22" i="35"/>
  <c r="C58" i="21"/>
  <c r="I7" i="21"/>
  <c r="E7" i="21"/>
  <c r="G7" i="21"/>
  <c r="J9" i="36"/>
  <c r="H9" i="36"/>
  <c r="F9" i="36"/>
  <c r="J24" i="36"/>
  <c r="H24" i="36"/>
  <c r="AZ392" i="3"/>
  <c r="AZ397" i="3"/>
  <c r="AZ408" i="3"/>
  <c r="AZ421" i="3"/>
  <c r="AZ435" i="3"/>
  <c r="BA20" i="3"/>
  <c r="G20" i="3"/>
  <c r="BA19" i="3"/>
  <c r="AZ19" i="3"/>
  <c r="G18" i="3"/>
  <c r="AZ440" i="3"/>
  <c r="AZ472" i="3"/>
  <c r="C92" i="9"/>
  <c r="C110" i="9"/>
  <c r="AZ448" i="3"/>
  <c r="AZ387" i="3"/>
  <c r="AZ214" i="3"/>
  <c r="AZ218" i="3"/>
  <c r="AZ230" i="3"/>
  <c r="AZ234" i="3"/>
  <c r="AZ240" i="3"/>
  <c r="AZ243" i="3"/>
  <c r="AZ256" i="3"/>
  <c r="AZ259" i="3"/>
  <c r="AZ264" i="3"/>
  <c r="AZ271" i="3"/>
  <c r="AZ283" i="3"/>
  <c r="AZ287" i="3"/>
  <c r="AZ294" i="3"/>
  <c r="AZ156" i="3"/>
  <c r="AZ159" i="3"/>
  <c r="AZ172" i="3"/>
  <c r="AZ175" i="3"/>
  <c r="AZ202" i="3"/>
  <c r="AZ36" i="3"/>
  <c r="AZ42" i="3"/>
  <c r="AZ45" i="3"/>
  <c r="AZ52" i="3"/>
  <c r="AZ58" i="3"/>
  <c r="AZ61" i="3"/>
  <c r="AZ67" i="3"/>
  <c r="AZ73" i="3"/>
  <c r="AZ76" i="3"/>
  <c r="AZ83" i="3"/>
  <c r="AZ87" i="3"/>
  <c r="AZ93" i="3"/>
  <c r="AZ96" i="3"/>
  <c r="AZ103" i="3"/>
  <c r="AZ109" i="3"/>
  <c r="C14" i="59"/>
  <c r="D13" i="59"/>
  <c r="G21" i="3"/>
  <c r="G22" i="3"/>
  <c r="BA23" i="3"/>
  <c r="BL23" i="3"/>
  <c r="G24" i="3"/>
  <c r="BA25" i="3"/>
  <c r="AZ25" i="3"/>
  <c r="BA26" i="3"/>
  <c r="BL26" i="3"/>
  <c r="G27" i="3"/>
  <c r="BL27" i="3"/>
  <c r="AZ27" i="3"/>
  <c r="BA28" i="3"/>
  <c r="AZ28" i="3"/>
  <c r="BL29" i="3"/>
  <c r="BA30" i="3"/>
  <c r="BL30" i="3"/>
  <c r="BA31" i="3"/>
  <c r="AZ31" i="3"/>
  <c r="BL32" i="3"/>
  <c r="AZ32" i="3"/>
  <c r="K13" i="1"/>
  <c r="M13" i="1"/>
  <c r="O13" i="1"/>
  <c r="P13" i="1"/>
  <c r="D108" i="46"/>
  <c r="D100" i="46"/>
  <c r="E26" i="57"/>
  <c r="C25" i="59"/>
  <c r="D24" i="59"/>
  <c r="D36" i="59"/>
  <c r="C37" i="59"/>
  <c r="D44" i="59"/>
  <c r="C45" i="59"/>
  <c r="B9" i="59"/>
  <c r="B8" i="59"/>
  <c r="S10" i="59"/>
  <c r="AA6" i="59"/>
  <c r="S21" i="34"/>
  <c r="S18" i="35"/>
  <c r="L16" i="4"/>
  <c r="K17" i="4"/>
  <c r="A22" i="51"/>
  <c r="B16" i="63"/>
  <c r="AB8" i="59"/>
  <c r="AB3" i="59"/>
  <c r="AA10" i="59"/>
  <c r="AA8" i="59"/>
  <c r="AA3" i="59"/>
  <c r="X9" i="59"/>
  <c r="X7" i="59"/>
  <c r="X11" i="59"/>
  <c r="Y11" i="59"/>
  <c r="Z11" i="59"/>
  <c r="F12" i="59"/>
  <c r="F13" i="59"/>
  <c r="F14" i="59"/>
  <c r="V14" i="59"/>
  <c r="X12" i="59"/>
  <c r="AA12" i="59"/>
  <c r="X13" i="59"/>
  <c r="AA13" i="59"/>
  <c r="X14" i="59"/>
  <c r="AA14" i="59"/>
  <c r="B16" i="59"/>
  <c r="B17" i="59"/>
  <c r="B18" i="59"/>
  <c r="S18" i="59"/>
  <c r="C16" i="59"/>
  <c r="AA15" i="59"/>
  <c r="AB15" i="59"/>
  <c r="Y16" i="59"/>
  <c r="Z16" i="59"/>
  <c r="AB16" i="59"/>
  <c r="Y17" i="59"/>
  <c r="Z17" i="59"/>
  <c r="AB17" i="59"/>
  <c r="Y18" i="59"/>
  <c r="Z18" i="59"/>
  <c r="AB18" i="59"/>
  <c r="X19" i="59"/>
  <c r="Y19" i="59"/>
  <c r="Z19" i="59"/>
  <c r="E20" i="59"/>
  <c r="E21" i="59"/>
  <c r="E22" i="59"/>
  <c r="U22" i="59"/>
  <c r="F20" i="59"/>
  <c r="F21" i="59"/>
  <c r="F22" i="59"/>
  <c r="V22" i="59"/>
  <c r="X20" i="59"/>
  <c r="AA20" i="59"/>
  <c r="N50" i="59"/>
  <c r="B49" i="59"/>
  <c r="D10" i="59"/>
  <c r="T10" i="59"/>
  <c r="C9" i="59"/>
  <c r="V10" i="59"/>
  <c r="F9" i="59"/>
  <c r="F8" i="59"/>
  <c r="Y5" i="59"/>
  <c r="Z5" i="59"/>
  <c r="AB5" i="59"/>
  <c r="AA5" i="59"/>
  <c r="E10" i="59"/>
  <c r="X6" i="59"/>
  <c r="X5" i="59"/>
  <c r="G13" i="3"/>
  <c r="AA12" i="46"/>
  <c r="AE12" i="46"/>
  <c r="AI12" i="46"/>
  <c r="Y6" i="59"/>
  <c r="Z6" i="59"/>
  <c r="AB6" i="59"/>
  <c r="F91" i="39"/>
  <c r="G91" i="39"/>
  <c r="H17" i="39"/>
  <c r="U17" i="39"/>
  <c r="AC31" i="39"/>
  <c r="W23" i="39"/>
  <c r="L76" i="9"/>
  <c r="A30" i="64"/>
  <c r="A30" i="51"/>
  <c r="B22" i="63"/>
  <c r="AB42" i="33"/>
  <c r="AB10" i="33"/>
  <c r="G111" i="33"/>
  <c r="F36" i="33"/>
  <c r="U34" i="33"/>
  <c r="AB34" i="33"/>
  <c r="AA34" i="33"/>
  <c r="H32" i="33"/>
  <c r="AB32" i="33"/>
  <c r="F32" i="33"/>
  <c r="F101" i="33"/>
  <c r="G101" i="33"/>
  <c r="H101" i="33"/>
  <c r="I101" i="33"/>
  <c r="J101" i="33"/>
  <c r="K101" i="33"/>
  <c r="L101" i="33"/>
  <c r="M101" i="33"/>
  <c r="J32" i="33"/>
  <c r="AC32" i="33"/>
  <c r="H27" i="33"/>
  <c r="U27" i="33"/>
  <c r="F27" i="33"/>
  <c r="S27" i="33"/>
  <c r="F91" i="33"/>
  <c r="G91" i="33"/>
  <c r="H91" i="33"/>
  <c r="I91" i="33"/>
  <c r="J91" i="33"/>
  <c r="K91" i="33"/>
  <c r="L91" i="33"/>
  <c r="M91" i="33"/>
  <c r="J27" i="33"/>
  <c r="AC27" i="33"/>
  <c r="H25" i="33"/>
  <c r="AB25" i="33"/>
  <c r="F87" i="33"/>
  <c r="G87" i="33"/>
  <c r="H87" i="33"/>
  <c r="I87" i="33"/>
  <c r="J87" i="33"/>
  <c r="K87" i="33"/>
  <c r="L87" i="33"/>
  <c r="M87" i="33"/>
  <c r="F25" i="33"/>
  <c r="AA25" i="33"/>
  <c r="J25" i="33"/>
  <c r="W25" i="33"/>
  <c r="F85" i="33"/>
  <c r="G85" i="33"/>
  <c r="J23" i="33"/>
  <c r="F23" i="33"/>
  <c r="S23" i="33"/>
  <c r="H23" i="33"/>
  <c r="U23" i="33"/>
  <c r="F79" i="33"/>
  <c r="G79" i="33"/>
  <c r="F17" i="33"/>
  <c r="AA17" i="33"/>
  <c r="J17" i="33"/>
  <c r="AC17" i="33"/>
  <c r="H17" i="33"/>
  <c r="F77" i="33"/>
  <c r="G77" i="33"/>
  <c r="F15" i="33"/>
  <c r="J15" i="33"/>
  <c r="H15" i="33"/>
  <c r="U15" i="33"/>
  <c r="S42" i="33"/>
  <c r="S28" i="33"/>
  <c r="AA23" i="33"/>
  <c r="S17" i="33"/>
  <c r="S10" i="33"/>
  <c r="AB41" i="33"/>
  <c r="AA41" i="33"/>
  <c r="W41" i="33"/>
  <c r="S38" i="33"/>
  <c r="U38" i="33"/>
  <c r="W38" i="33"/>
  <c r="AC37" i="33"/>
  <c r="S37" i="33"/>
  <c r="U35" i="33"/>
  <c r="AC35" i="33"/>
  <c r="S35" i="33"/>
  <c r="W34" i="33"/>
  <c r="W32" i="33"/>
  <c r="U32" i="33"/>
  <c r="AC28" i="33"/>
  <c r="AA27" i="33"/>
  <c r="W27" i="33"/>
  <c r="S26" i="33"/>
  <c r="AB26" i="33"/>
  <c r="S25" i="33"/>
  <c r="AC25" i="33"/>
  <c r="U25" i="33"/>
  <c r="AA11" i="33"/>
  <c r="AC11" i="33"/>
  <c r="AB11" i="33"/>
  <c r="U19" i="33"/>
  <c r="AC19" i="33"/>
  <c r="W17" i="33"/>
  <c r="AB15" i="33"/>
  <c r="W10" i="33"/>
  <c r="S9" i="33"/>
  <c r="W9" i="33"/>
  <c r="U9" i="33"/>
  <c r="AC8" i="33"/>
  <c r="F123" i="21"/>
  <c r="F42" i="21"/>
  <c r="H113" i="21"/>
  <c r="F37" i="21"/>
  <c r="H37" i="21"/>
  <c r="J37" i="21"/>
  <c r="W32" i="21"/>
  <c r="F85" i="21"/>
  <c r="J23" i="21"/>
  <c r="F81" i="21"/>
  <c r="G81" i="21"/>
  <c r="F19" i="21"/>
  <c r="H19" i="21"/>
  <c r="AB19" i="21"/>
  <c r="H17" i="21"/>
  <c r="AB17" i="21"/>
  <c r="F79" i="21"/>
  <c r="G79" i="21"/>
  <c r="F17" i="21"/>
  <c r="S17" i="21"/>
  <c r="J17" i="21"/>
  <c r="AC17" i="21"/>
  <c r="F77" i="21"/>
  <c r="J15" i="21"/>
  <c r="AC15" i="21"/>
  <c r="U43" i="21"/>
  <c r="U40" i="21"/>
  <c r="AA40" i="21"/>
  <c r="U38" i="21"/>
  <c r="AA36" i="21"/>
  <c r="S21" i="21"/>
  <c r="AC19" i="21"/>
  <c r="U19" i="21"/>
  <c r="W15" i="21"/>
  <c r="F69" i="21"/>
  <c r="G69" i="21"/>
  <c r="H69" i="21"/>
  <c r="I69" i="21"/>
  <c r="J69" i="21"/>
  <c r="K69" i="21"/>
  <c r="L69" i="21"/>
  <c r="M69" i="21"/>
  <c r="AB10" i="21"/>
  <c r="U9" i="21"/>
  <c r="S8" i="21"/>
  <c r="AA38" i="21"/>
  <c r="P9" i="1"/>
  <c r="AB36" i="21"/>
  <c r="S35" i="21"/>
  <c r="AC35" i="21"/>
  <c r="AB32" i="21"/>
  <c r="H43" i="39"/>
  <c r="H126" i="39"/>
  <c r="I126" i="39"/>
  <c r="J126" i="39"/>
  <c r="K126" i="39"/>
  <c r="L126" i="39"/>
  <c r="M126" i="39"/>
  <c r="F43" i="39"/>
  <c r="J43" i="39"/>
  <c r="AC43" i="39"/>
  <c r="AA42" i="39"/>
  <c r="S42" i="39"/>
  <c r="E124" i="39"/>
  <c r="F124" i="39"/>
  <c r="G124" i="39"/>
  <c r="H124" i="39"/>
  <c r="I124" i="39"/>
  <c r="J124" i="39"/>
  <c r="K124" i="39"/>
  <c r="L124" i="39"/>
  <c r="M124" i="39"/>
  <c r="J42" i="39"/>
  <c r="H42" i="39"/>
  <c r="F122" i="39"/>
  <c r="G122" i="39"/>
  <c r="H122" i="39"/>
  <c r="I122" i="39"/>
  <c r="J122" i="39"/>
  <c r="K122" i="39"/>
  <c r="L122" i="39"/>
  <c r="M122" i="39"/>
  <c r="H41" i="39"/>
  <c r="AB41" i="39"/>
  <c r="F41" i="39"/>
  <c r="AA41" i="39"/>
  <c r="J41" i="39"/>
  <c r="AC41" i="39"/>
  <c r="G109" i="39"/>
  <c r="H34" i="39"/>
  <c r="AB34" i="39"/>
  <c r="F27" i="39"/>
  <c r="J27" i="39"/>
  <c r="AC27" i="39"/>
  <c r="F101" i="39"/>
  <c r="G101" i="39"/>
  <c r="H27" i="39"/>
  <c r="AB27" i="39"/>
  <c r="F19" i="39"/>
  <c r="S19" i="39"/>
  <c r="J19" i="39"/>
  <c r="W19" i="39"/>
  <c r="F93" i="39"/>
  <c r="G93" i="39"/>
  <c r="H19" i="39"/>
  <c r="J17" i="39"/>
  <c r="W17" i="39"/>
  <c r="F17" i="39"/>
  <c r="AA17" i="39"/>
  <c r="W33" i="39"/>
  <c r="AB29" i="39"/>
  <c r="S29" i="39"/>
  <c r="F83" i="39"/>
  <c r="G83" i="39"/>
  <c r="H83" i="39"/>
  <c r="I83" i="39"/>
  <c r="J83" i="39"/>
  <c r="K83" i="39"/>
  <c r="L83" i="39"/>
  <c r="M83" i="39"/>
  <c r="W10" i="39"/>
  <c r="S31" i="39"/>
  <c r="W29" i="39"/>
  <c r="W27" i="39"/>
  <c r="S25" i="39"/>
  <c r="AB25" i="39"/>
  <c r="S23" i="39"/>
  <c r="AC17" i="39"/>
  <c r="AB17" i="39"/>
  <c r="B54" i="46"/>
  <c r="C17" i="39"/>
  <c r="AA44" i="39"/>
  <c r="AC44" i="39"/>
  <c r="W43" i="39"/>
  <c r="S41" i="39"/>
  <c r="U40" i="39"/>
  <c r="S40" i="39"/>
  <c r="W11" i="39"/>
  <c r="U11" i="39"/>
  <c r="D65" i="40"/>
  <c r="C67" i="40"/>
  <c r="D58" i="21"/>
  <c r="E58" i="21"/>
  <c r="F58" i="21"/>
  <c r="G58" i="21"/>
  <c r="H58" i="21"/>
  <c r="I58" i="21"/>
  <c r="J58" i="21"/>
  <c r="K58" i="21"/>
  <c r="L58" i="21"/>
  <c r="M58" i="21"/>
  <c r="N58" i="21"/>
  <c r="O58" i="21"/>
  <c r="F7" i="21"/>
  <c r="D70" i="39"/>
  <c r="C72" i="39"/>
  <c r="C20" i="46"/>
  <c r="B41" i="1"/>
  <c r="AZ29" i="3"/>
  <c r="F30" i="6"/>
  <c r="B13" i="52"/>
  <c r="I5" i="3"/>
  <c r="I4" i="6"/>
  <c r="G3" i="46"/>
  <c r="J22" i="46"/>
  <c r="BB5" i="3"/>
  <c r="E8" i="6"/>
  <c r="H5" i="3"/>
  <c r="E16" i="52"/>
  <c r="E4" i="4"/>
  <c r="B21" i="55"/>
  <c r="E6" i="52"/>
  <c r="AZ24" i="3"/>
  <c r="E29" i="6"/>
  <c r="K15" i="1"/>
  <c r="AZ20" i="3"/>
  <c r="AZ22" i="3"/>
  <c r="L27" i="6"/>
  <c r="G30" i="6"/>
  <c r="G31" i="6"/>
  <c r="AZ21" i="3"/>
  <c r="O6" i="1"/>
  <c r="P6" i="1"/>
  <c r="O10" i="1"/>
  <c r="P10" i="1"/>
  <c r="O7" i="1"/>
  <c r="P7" i="1"/>
  <c r="O12" i="1"/>
  <c r="P12" i="1"/>
  <c r="E8" i="52"/>
  <c r="E21" i="52"/>
  <c r="A18" i="64"/>
  <c r="B74" i="63"/>
  <c r="C53" i="10"/>
  <c r="T41" i="4"/>
  <c r="A18" i="51"/>
  <c r="B14" i="63"/>
  <c r="L5" i="54"/>
  <c r="B39" i="63"/>
  <c r="K5" i="54"/>
  <c r="A17" i="64"/>
  <c r="A17" i="51"/>
  <c r="B13" i="63"/>
  <c r="A11" i="55"/>
  <c r="B62" i="63"/>
  <c r="E4" i="52"/>
  <c r="B11" i="52"/>
  <c r="B5" i="52"/>
  <c r="B22" i="52"/>
  <c r="B14" i="52"/>
  <c r="E7" i="52"/>
  <c r="E5" i="52"/>
  <c r="B6" i="52"/>
  <c r="B16" i="52"/>
  <c r="B23" i="52"/>
  <c r="E10" i="52"/>
  <c r="E9" i="52"/>
  <c r="C4" i="4"/>
  <c r="B20" i="55"/>
  <c r="B8" i="52"/>
  <c r="B4" i="52"/>
  <c r="B9" i="52"/>
  <c r="B10" i="52"/>
  <c r="B7" i="52"/>
  <c r="E11" i="52"/>
  <c r="O41" i="9"/>
  <c r="R8" i="54"/>
  <c r="B54" i="63"/>
  <c r="K33" i="9"/>
  <c r="K34" i="9"/>
  <c r="I14" i="66"/>
  <c r="B8" i="66"/>
  <c r="K76" i="9"/>
  <c r="K77" i="9"/>
  <c r="K79" i="9"/>
  <c r="K81" i="9"/>
  <c r="H48" i="35"/>
  <c r="I48" i="35"/>
  <c r="J48" i="35"/>
  <c r="K48" i="35"/>
  <c r="L48" i="35"/>
  <c r="M48" i="35"/>
  <c r="N48" i="35"/>
  <c r="O48" i="35"/>
  <c r="K59" i="34"/>
  <c r="L59" i="34"/>
  <c r="M59" i="34"/>
  <c r="N59" i="34"/>
  <c r="O59" i="34"/>
  <c r="I52" i="37"/>
  <c r="E58" i="33"/>
  <c r="F58" i="33"/>
  <c r="G58" i="33"/>
  <c r="H58" i="33"/>
  <c r="I58" i="33"/>
  <c r="J58" i="33"/>
  <c r="K58" i="33"/>
  <c r="L58" i="33"/>
  <c r="M58" i="33"/>
  <c r="N58" i="33"/>
  <c r="O58" i="33"/>
  <c r="F46" i="36"/>
  <c r="H7" i="34"/>
  <c r="F7" i="35"/>
  <c r="C25" i="12"/>
  <c r="Q73" i="44"/>
  <c r="F70" i="15"/>
  <c r="F64" i="15"/>
  <c r="L59" i="15"/>
  <c r="C8" i="44"/>
  <c r="F67" i="15"/>
  <c r="L60" i="44"/>
  <c r="L59" i="44"/>
  <c r="I1" i="65"/>
  <c r="I55" i="44"/>
  <c r="J60" i="44"/>
  <c r="J61" i="44"/>
  <c r="Q50" i="44"/>
  <c r="J54" i="44"/>
  <c r="J58" i="44"/>
  <c r="J56" i="44"/>
  <c r="J59" i="44"/>
  <c r="Q52" i="44"/>
  <c r="L57" i="44"/>
  <c r="M9" i="44"/>
  <c r="C29" i="44"/>
  <c r="F63" i="15"/>
  <c r="Q72" i="15"/>
  <c r="J1" i="65"/>
  <c r="C4" i="65"/>
  <c r="B39" i="1"/>
  <c r="E20" i="46"/>
  <c r="F58" i="15"/>
  <c r="M19" i="44"/>
  <c r="M17" i="15"/>
  <c r="F38" i="15"/>
  <c r="F13" i="15"/>
  <c r="F8" i="15"/>
  <c r="C18" i="44"/>
  <c r="M22" i="15"/>
  <c r="E2" i="65"/>
  <c r="M23" i="15"/>
  <c r="J15" i="15"/>
  <c r="C16" i="15"/>
  <c r="M26" i="15"/>
  <c r="F7" i="15"/>
  <c r="L48" i="15"/>
  <c r="F26" i="15"/>
  <c r="M27" i="15"/>
  <c r="F6" i="15"/>
  <c r="F42" i="15"/>
  <c r="M8" i="15"/>
  <c r="E3" i="65"/>
  <c r="AZ30" i="3"/>
  <c r="H7" i="21"/>
  <c r="E30" i="6"/>
  <c r="W41" i="39"/>
  <c r="BL5" i="3"/>
  <c r="G101" i="46"/>
  <c r="G104" i="46"/>
  <c r="K101" i="46"/>
  <c r="AE11" i="46"/>
  <c r="AE13" i="46"/>
  <c r="E22" i="46"/>
  <c r="L101" i="46"/>
  <c r="L106" i="46"/>
  <c r="AD11" i="46"/>
  <c r="AD13" i="46"/>
  <c r="I101" i="46"/>
  <c r="I105" i="46"/>
  <c r="C23" i="46"/>
  <c r="C21" i="46"/>
  <c r="G5" i="3"/>
  <c r="B3" i="3"/>
  <c r="AZ23" i="3"/>
  <c r="B113" i="46"/>
  <c r="I115" i="46"/>
  <c r="J115" i="46"/>
  <c r="K115" i="46"/>
  <c r="L115" i="46"/>
  <c r="M115" i="46"/>
  <c r="E101" i="46"/>
  <c r="E103" i="46"/>
  <c r="F101" i="46"/>
  <c r="F106" i="46"/>
  <c r="AF11" i="46"/>
  <c r="AF13" i="46"/>
  <c r="H22" i="46"/>
  <c r="M101" i="46"/>
  <c r="M103" i="46"/>
  <c r="AG11" i="46"/>
  <c r="AG13" i="46"/>
  <c r="AI11" i="46"/>
  <c r="AI13" i="46"/>
  <c r="AZ26" i="3"/>
  <c r="AZ5" i="3"/>
  <c r="C27" i="15"/>
  <c r="M7" i="15"/>
  <c r="J6" i="15"/>
  <c r="F49" i="15"/>
  <c r="C6" i="15"/>
  <c r="L58" i="15"/>
  <c r="Q74" i="15"/>
  <c r="J53" i="15"/>
  <c r="F1" i="15"/>
  <c r="L56" i="15"/>
  <c r="J59" i="15"/>
  <c r="J57" i="15"/>
  <c r="J55" i="15"/>
  <c r="J58" i="15"/>
  <c r="Q51" i="15"/>
  <c r="I54" i="15"/>
  <c r="J60" i="15"/>
  <c r="Q49" i="15"/>
  <c r="F65" i="15"/>
  <c r="F50" i="15"/>
  <c r="C48" i="15"/>
  <c r="C33" i="21"/>
  <c r="N49" i="59"/>
  <c r="B48" i="59"/>
  <c r="D16" i="59"/>
  <c r="C17" i="59"/>
  <c r="C46" i="59"/>
  <c r="D45" i="59"/>
  <c r="C38" i="59"/>
  <c r="D37" i="59"/>
  <c r="W24" i="36"/>
  <c r="AC24" i="36"/>
  <c r="AB9" i="36"/>
  <c r="U9" i="36"/>
  <c r="H7" i="33"/>
  <c r="F7" i="34"/>
  <c r="S7" i="34"/>
  <c r="J7" i="34"/>
  <c r="BA5" i="3"/>
  <c r="AA19" i="39"/>
  <c r="U17" i="21"/>
  <c r="AA17" i="21"/>
  <c r="U10" i="59"/>
  <c r="E9" i="59"/>
  <c r="E8" i="59"/>
  <c r="D9" i="59"/>
  <c r="C8" i="59"/>
  <c r="D8" i="59"/>
  <c r="C26" i="59"/>
  <c r="D25" i="59"/>
  <c r="D14" i="59"/>
  <c r="T14" i="59"/>
  <c r="AB24" i="36"/>
  <c r="U24" i="36"/>
  <c r="AA9" i="36"/>
  <c r="S9" i="36"/>
  <c r="AC9" i="36"/>
  <c r="W9" i="36"/>
  <c r="AC39" i="33"/>
  <c r="W39" i="33"/>
  <c r="B70" i="63"/>
  <c r="B72" i="63"/>
  <c r="U27" i="39"/>
  <c r="S17" i="39"/>
  <c r="S36" i="33"/>
  <c r="AA36" i="33"/>
  <c r="H36" i="33"/>
  <c r="J36" i="33"/>
  <c r="H111" i="33"/>
  <c r="I111" i="33"/>
  <c r="J111" i="33"/>
  <c r="K111" i="33"/>
  <c r="L111" i="33"/>
  <c r="M111" i="33"/>
  <c r="AA32" i="33"/>
  <c r="S32" i="33"/>
  <c r="AB27" i="33"/>
  <c r="W23" i="33"/>
  <c r="AC23" i="33"/>
  <c r="AB23" i="33"/>
  <c r="U17" i="33"/>
  <c r="AB17" i="33"/>
  <c r="AA15" i="33"/>
  <c r="S15" i="33"/>
  <c r="AC15" i="33"/>
  <c r="W15" i="33"/>
  <c r="AA42" i="21"/>
  <c r="S42" i="21"/>
  <c r="G123" i="21"/>
  <c r="H123" i="21"/>
  <c r="I123" i="21"/>
  <c r="J123" i="21"/>
  <c r="K123" i="21"/>
  <c r="L123" i="21"/>
  <c r="M123" i="21"/>
  <c r="H42" i="21"/>
  <c r="J42" i="21"/>
  <c r="W37" i="21"/>
  <c r="AC37" i="21"/>
  <c r="S37" i="21"/>
  <c r="AA37" i="21"/>
  <c r="U37" i="21"/>
  <c r="AB37" i="21"/>
  <c r="W23" i="21"/>
  <c r="AC23" i="21"/>
  <c r="G85" i="21"/>
  <c r="F23" i="21"/>
  <c r="H23" i="21"/>
  <c r="AA19" i="21"/>
  <c r="S19" i="21"/>
  <c r="W17" i="21"/>
  <c r="F15" i="21"/>
  <c r="G77" i="21"/>
  <c r="H15" i="21"/>
  <c r="S43" i="39"/>
  <c r="AA43" i="39"/>
  <c r="U43" i="39"/>
  <c r="AB43" i="39"/>
  <c r="AC42" i="39"/>
  <c r="W42" i="39"/>
  <c r="AB42" i="39"/>
  <c r="U42" i="39"/>
  <c r="U41" i="39"/>
  <c r="U34" i="39"/>
  <c r="H109" i="39"/>
  <c r="I109" i="39"/>
  <c r="J109" i="39"/>
  <c r="K109" i="39"/>
  <c r="L109" i="39"/>
  <c r="M109" i="39"/>
  <c r="F34" i="39"/>
  <c r="J34" i="39"/>
  <c r="AA27" i="39"/>
  <c r="S27" i="39"/>
  <c r="U19" i="39"/>
  <c r="AB19" i="39"/>
  <c r="AC19" i="39"/>
  <c r="H7" i="35"/>
  <c r="AB7" i="35"/>
  <c r="T38" i="35"/>
  <c r="G38" i="35"/>
  <c r="AB7" i="21"/>
  <c r="U7" i="21"/>
  <c r="J7" i="21"/>
  <c r="D72" i="39"/>
  <c r="E70" i="39"/>
  <c r="AA7" i="21"/>
  <c r="S7" i="21"/>
  <c r="D67" i="40"/>
  <c r="E65" i="40"/>
  <c r="F34" i="44"/>
  <c r="F66" i="9"/>
  <c r="P72" i="9"/>
  <c r="F72" i="9"/>
  <c r="F70" i="9"/>
  <c r="M20" i="44"/>
  <c r="F30" i="44"/>
  <c r="C30" i="44"/>
  <c r="F28" i="15"/>
  <c r="C28" i="15"/>
  <c r="F27" i="43"/>
  <c r="C27" i="43"/>
  <c r="F71" i="9"/>
  <c r="F32" i="15"/>
  <c r="F59" i="15"/>
  <c r="F29" i="12"/>
  <c r="D86" i="9"/>
  <c r="F31" i="43"/>
  <c r="C31" i="43"/>
  <c r="M18" i="15"/>
  <c r="C101" i="46"/>
  <c r="C104" i="46"/>
  <c r="J101" i="46"/>
  <c r="J107" i="46"/>
  <c r="N104" i="45"/>
  <c r="F22" i="46"/>
  <c r="Z7" i="46"/>
  <c r="N101" i="46"/>
  <c r="N109" i="46"/>
  <c r="Z11" i="46"/>
  <c r="Z13" i="46"/>
  <c r="AH11" i="46"/>
  <c r="AH13" i="46"/>
  <c r="AJ11" i="46"/>
  <c r="AJ13" i="46"/>
  <c r="AB11" i="46"/>
  <c r="AB13" i="46"/>
  <c r="G22" i="46"/>
  <c r="D101" i="46"/>
  <c r="D105" i="46"/>
  <c r="H101" i="46"/>
  <c r="H104" i="46"/>
  <c r="AC11" i="46"/>
  <c r="AC13" i="46"/>
  <c r="Y11" i="46"/>
  <c r="Y13" i="46"/>
  <c r="AA11" i="46"/>
  <c r="AA13" i="46"/>
  <c r="E11" i="6"/>
  <c r="E63" i="39"/>
  <c r="E13" i="6"/>
  <c r="E65" i="39"/>
  <c r="E14" i="6"/>
  <c r="E61" i="40"/>
  <c r="E10" i="6"/>
  <c r="E15" i="6"/>
  <c r="E62" i="40"/>
  <c r="E12" i="6"/>
  <c r="E64" i="39"/>
  <c r="E5" i="6"/>
  <c r="D12" i="11"/>
  <c r="C12" i="11"/>
  <c r="E53" i="40"/>
  <c r="E58" i="39"/>
  <c r="E98" i="3"/>
  <c r="E132" i="3"/>
  <c r="E135" i="3"/>
  <c r="E428" i="3"/>
  <c r="E86" i="3"/>
  <c r="E430" i="3"/>
  <c r="E199" i="3"/>
  <c r="E158" i="3"/>
  <c r="E23" i="3"/>
  <c r="E46" i="3"/>
  <c r="E426" i="3"/>
  <c r="P6" i="3"/>
  <c r="E463" i="3"/>
  <c r="E131" i="3"/>
  <c r="E414" i="3"/>
  <c r="E418" i="3"/>
  <c r="E411" i="3"/>
  <c r="E55" i="3"/>
  <c r="E437" i="3"/>
  <c r="E115" i="3"/>
  <c r="E389" i="3"/>
  <c r="E536" i="3"/>
  <c r="E545" i="3"/>
  <c r="N6" i="3"/>
  <c r="E292" i="3"/>
  <c r="E85" i="3"/>
  <c r="E311" i="3"/>
  <c r="E57" i="3"/>
  <c r="AP6" i="3"/>
  <c r="E70" i="3"/>
  <c r="E151" i="3"/>
  <c r="E53" i="3"/>
  <c r="W6" i="3"/>
  <c r="E77" i="3"/>
  <c r="E447" i="3"/>
  <c r="AR6" i="3"/>
  <c r="E317" i="3"/>
  <c r="O14" i="1"/>
  <c r="P14" i="1"/>
  <c r="E336" i="3"/>
  <c r="E332" i="3"/>
  <c r="E290" i="3"/>
  <c r="E466" i="3"/>
  <c r="E73" i="3"/>
  <c r="E52" i="3"/>
  <c r="E383" i="3"/>
  <c r="E388" i="3"/>
  <c r="E242" i="3"/>
  <c r="E96" i="3"/>
  <c r="E308" i="3"/>
  <c r="E196" i="3"/>
  <c r="E207" i="3"/>
  <c r="O6" i="3"/>
  <c r="E257" i="3"/>
  <c r="E136" i="3"/>
  <c r="E168" i="3"/>
  <c r="E205" i="3"/>
  <c r="AK6" i="3"/>
  <c r="E119" i="3"/>
  <c r="E289" i="3"/>
  <c r="E303" i="3"/>
  <c r="E467" i="3"/>
  <c r="E214" i="3"/>
  <c r="E543" i="3"/>
  <c r="E369" i="3"/>
  <c r="E105" i="3"/>
  <c r="E505" i="3"/>
  <c r="E302" i="3"/>
  <c r="E331" i="3"/>
  <c r="E362" i="3"/>
  <c r="E150" i="3"/>
  <c r="E314" i="3"/>
  <c r="E502" i="3"/>
  <c r="E489" i="3"/>
  <c r="E286" i="3"/>
  <c r="E183" i="3"/>
  <c r="E320" i="3"/>
  <c r="E45" i="3"/>
  <c r="E48" i="3"/>
  <c r="E261" i="3"/>
  <c r="E393" i="3"/>
  <c r="E517" i="3"/>
  <c r="E235" i="3"/>
  <c r="E76" i="3"/>
  <c r="E271" i="3"/>
  <c r="E493" i="3"/>
  <c r="E81" i="3"/>
  <c r="E524" i="3"/>
  <c r="E171" i="3"/>
  <c r="E251" i="3"/>
  <c r="E354" i="3"/>
  <c r="E56" i="3"/>
  <c r="E531" i="3"/>
  <c r="E122" i="3"/>
  <c r="E495" i="3"/>
  <c r="E208" i="3"/>
  <c r="E344" i="3"/>
  <c r="E485" i="3"/>
  <c r="E335" i="3"/>
  <c r="E483" i="3"/>
  <c r="E366" i="3"/>
  <c r="E75" i="3"/>
  <c r="E438" i="3"/>
  <c r="E420" i="3"/>
  <c r="E203" i="3"/>
  <c r="E172" i="3"/>
  <c r="E417" i="3"/>
  <c r="E279" i="3"/>
  <c r="E400" i="3"/>
  <c r="E197" i="3"/>
  <c r="E61" i="3"/>
  <c r="E120" i="3"/>
  <c r="E191" i="3"/>
  <c r="E555" i="3"/>
  <c r="E355" i="3"/>
  <c r="E499" i="3"/>
  <c r="E558" i="3"/>
  <c r="E173" i="3"/>
  <c r="E436" i="3"/>
  <c r="E260" i="3"/>
  <c r="E432" i="3"/>
  <c r="E19" i="3"/>
  <c r="E498" i="3"/>
  <c r="E212" i="3"/>
  <c r="E298" i="3"/>
  <c r="E35" i="3"/>
  <c r="E361" i="3"/>
  <c r="E182" i="3"/>
  <c r="E315" i="3"/>
  <c r="E267" i="3"/>
  <c r="E323" i="3"/>
  <c r="E312" i="3"/>
  <c r="E159" i="3"/>
  <c r="E514" i="3"/>
  <c r="E501" i="3"/>
  <c r="E512" i="3"/>
  <c r="E384" i="3"/>
  <c r="E371" i="3"/>
  <c r="E310" i="3"/>
  <c r="E567" i="3"/>
  <c r="E487" i="3"/>
  <c r="E329" i="3"/>
  <c r="AB6" i="3"/>
  <c r="E518" i="3"/>
  <c r="E167" i="3"/>
  <c r="E515" i="3"/>
  <c r="E494" i="3"/>
  <c r="E542" i="3"/>
  <c r="E488" i="3"/>
  <c r="E244" i="3"/>
  <c r="E71" i="3"/>
  <c r="E137" i="3"/>
  <c r="E240" i="3"/>
  <c r="E301" i="3"/>
  <c r="E382" i="3"/>
  <c r="E484" i="3"/>
  <c r="E326" i="3"/>
  <c r="E356" i="3"/>
  <c r="E481" i="3"/>
  <c r="E330" i="3"/>
  <c r="E350" i="3"/>
  <c r="E496" i="3"/>
  <c r="E352" i="3"/>
  <c r="E563" i="3"/>
  <c r="E254" i="3"/>
  <c r="E112" i="3"/>
  <c r="E341" i="3"/>
  <c r="E268" i="3"/>
  <c r="E316" i="3"/>
  <c r="E175" i="3"/>
  <c r="E318" i="3"/>
  <c r="E565" i="3"/>
  <c r="E380" i="3"/>
  <c r="E503" i="3"/>
  <c r="C106" i="46"/>
  <c r="J104" i="46"/>
  <c r="I104" i="46"/>
  <c r="I102" i="46"/>
  <c r="M105" i="46"/>
  <c r="M106" i="46"/>
  <c r="N106" i="46"/>
  <c r="G103" i="46"/>
  <c r="G107" i="46"/>
  <c r="B117" i="46"/>
  <c r="C117" i="46"/>
  <c r="B118" i="46"/>
  <c r="C118" i="46"/>
  <c r="B115" i="46"/>
  <c r="L107" i="46"/>
  <c r="L104" i="46"/>
  <c r="E106" i="46"/>
  <c r="K109" i="46"/>
  <c r="K107" i="46"/>
  <c r="K102" i="46"/>
  <c r="K106" i="46"/>
  <c r="K104" i="46"/>
  <c r="K105" i="46"/>
  <c r="K103" i="46"/>
  <c r="F103" i="46"/>
  <c r="F102" i="46"/>
  <c r="D102" i="46"/>
  <c r="B38" i="63"/>
  <c r="A3" i="55"/>
  <c r="B56" i="63"/>
  <c r="A25" i="64"/>
  <c r="A25" i="51"/>
  <c r="B18" i="63"/>
  <c r="AA7" i="35"/>
  <c r="R38" i="35"/>
  <c r="S7" i="35"/>
  <c r="AB7" i="33"/>
  <c r="U7" i="33"/>
  <c r="AA7" i="34"/>
  <c r="R49" i="34"/>
  <c r="W7" i="34"/>
  <c r="AC7" i="34"/>
  <c r="V49" i="34"/>
  <c r="I49" i="34"/>
  <c r="U7" i="35"/>
  <c r="AB7" i="34"/>
  <c r="T49" i="34"/>
  <c r="G49" i="34"/>
  <c r="U7" i="34"/>
  <c r="G46" i="36"/>
  <c r="J7" i="33"/>
  <c r="F7" i="33"/>
  <c r="J52" i="37"/>
  <c r="J7" i="35"/>
  <c r="F17" i="11"/>
  <c r="B40" i="1"/>
  <c r="Q75" i="15"/>
  <c r="Q62" i="15"/>
  <c r="Q63" i="44"/>
  <c r="Q76" i="44"/>
  <c r="P17" i="46"/>
  <c r="N17" i="46"/>
  <c r="O17" i="46"/>
  <c r="M17" i="46"/>
  <c r="F11" i="15"/>
  <c r="F13" i="44"/>
  <c r="C12" i="44"/>
  <c r="C7" i="44"/>
  <c r="M11" i="15"/>
  <c r="J10" i="15"/>
  <c r="M13" i="44"/>
  <c r="J12" i="44"/>
  <c r="J8" i="44"/>
  <c r="F1" i="44"/>
  <c r="Q54" i="44"/>
  <c r="Q75" i="44"/>
  <c r="Q62" i="44"/>
  <c r="AE11" i="1"/>
  <c r="D107" i="46"/>
  <c r="J105" i="46"/>
  <c r="D103" i="46"/>
  <c r="D106" i="46"/>
  <c r="F107" i="46"/>
  <c r="F109" i="46"/>
  <c r="L103" i="46"/>
  <c r="D117" i="46"/>
  <c r="E117" i="46"/>
  <c r="F117" i="46"/>
  <c r="G117" i="46"/>
  <c r="H117" i="46"/>
  <c r="I117" i="46"/>
  <c r="J117" i="46"/>
  <c r="K117" i="46"/>
  <c r="L117" i="46"/>
  <c r="M117" i="46"/>
  <c r="I118" i="46"/>
  <c r="J118" i="46"/>
  <c r="K118" i="46"/>
  <c r="L118" i="46"/>
  <c r="M118" i="46"/>
  <c r="D118" i="46"/>
  <c r="E118" i="46"/>
  <c r="F118" i="46"/>
  <c r="G102" i="46"/>
  <c r="N102" i="46"/>
  <c r="N103" i="46"/>
  <c r="I106" i="46"/>
  <c r="J102" i="46"/>
  <c r="J106" i="46"/>
  <c r="C13" i="39"/>
  <c r="C11" i="21"/>
  <c r="E297" i="3"/>
  <c r="E283" i="3"/>
  <c r="E549" i="3"/>
  <c r="E460" i="3"/>
  <c r="E49" i="3"/>
  <c r="E457" i="3"/>
  <c r="E548" i="3"/>
  <c r="E201" i="3"/>
  <c r="E534" i="3"/>
  <c r="E156" i="3"/>
  <c r="E470" i="3"/>
  <c r="E101" i="3"/>
  <c r="E404" i="3"/>
  <c r="E165" i="3"/>
  <c r="E294" i="3"/>
  <c r="E94" i="3"/>
  <c r="E427" i="3"/>
  <c r="E535" i="3"/>
  <c r="E22" i="3"/>
  <c r="E152" i="3"/>
  <c r="AA6" i="3"/>
  <c r="E110" i="3"/>
  <c r="E140" i="3"/>
  <c r="AH6" i="3"/>
  <c r="E64" i="3"/>
  <c r="E125" i="3"/>
  <c r="E21" i="3"/>
  <c r="E225" i="3"/>
  <c r="E187" i="3"/>
  <c r="E296" i="3"/>
  <c r="E390" i="3"/>
  <c r="E78" i="3"/>
  <c r="E194" i="3"/>
  <c r="E443" i="3"/>
  <c r="E476" i="3"/>
  <c r="E147" i="3"/>
  <c r="E117" i="3"/>
  <c r="E69" i="3"/>
  <c r="E349" i="3"/>
  <c r="E454" i="3"/>
  <c r="E218" i="3"/>
  <c r="E398" i="3"/>
  <c r="E65" i="3"/>
  <c r="E186" i="3"/>
  <c r="I6" i="3"/>
  <c r="E520" i="3"/>
  <c r="E82" i="3"/>
  <c r="E442" i="3"/>
  <c r="E129" i="3"/>
  <c r="E533" i="3"/>
  <c r="E440" i="3"/>
  <c r="E89" i="3"/>
  <c r="E249" i="3"/>
  <c r="E295" i="3"/>
  <c r="E149" i="3"/>
  <c r="E492" i="3"/>
  <c r="E450" i="3"/>
  <c r="E161" i="3"/>
  <c r="E209" i="3"/>
  <c r="E157" i="3"/>
  <c r="E464" i="3"/>
  <c r="E270" i="3"/>
  <c r="E59" i="3"/>
  <c r="E280" i="3"/>
  <c r="AN6" i="3"/>
  <c r="E395" i="3"/>
  <c r="AO6" i="3"/>
  <c r="E192" i="3"/>
  <c r="E348" i="3"/>
  <c r="E394" i="3"/>
  <c r="E282" i="3"/>
  <c r="E375" i="3"/>
  <c r="E561" i="3"/>
  <c r="E446" i="3"/>
  <c r="E221" i="3"/>
  <c r="E421" i="3"/>
  <c r="E391" i="3"/>
  <c r="E124" i="3"/>
  <c r="X6" i="3"/>
  <c r="E299" i="3"/>
  <c r="E103" i="3"/>
  <c r="E62" i="3"/>
  <c r="E230" i="3"/>
  <c r="E333" i="3"/>
  <c r="E99" i="3"/>
  <c r="E104" i="3"/>
  <c r="E459" i="3"/>
  <c r="E170" i="3"/>
  <c r="E193" i="3"/>
  <c r="M6" i="3"/>
  <c r="E100" i="3"/>
  <c r="E376" i="3"/>
  <c r="E381" i="3"/>
  <c r="E231" i="3"/>
  <c r="I3" i="6"/>
  <c r="E452" i="3"/>
  <c r="E54" i="3"/>
  <c r="E537" i="3"/>
  <c r="E472" i="3"/>
  <c r="E337" i="3"/>
  <c r="E265" i="3"/>
  <c r="E68" i="3"/>
  <c r="E528" i="3"/>
  <c r="E215" i="3"/>
  <c r="E174" i="3"/>
  <c r="E359" i="3"/>
  <c r="Z6" i="3"/>
  <c r="E490" i="3"/>
  <c r="E422" i="3"/>
  <c r="E556" i="3"/>
  <c r="E237" i="3"/>
  <c r="E36" i="3"/>
  <c r="E44" i="3"/>
  <c r="E238" i="3"/>
  <c r="E408" i="3"/>
  <c r="E471" i="3"/>
  <c r="E250" i="3"/>
  <c r="E413" i="3"/>
  <c r="E93" i="3"/>
  <c r="E570" i="3"/>
  <c r="E241" i="3"/>
  <c r="E31" i="3"/>
  <c r="E83" i="3"/>
  <c r="AD6" i="3"/>
  <c r="E200" i="3"/>
  <c r="E435" i="3"/>
  <c r="E274" i="3"/>
  <c r="E397" i="3"/>
  <c r="E47" i="3"/>
  <c r="E184" i="3"/>
  <c r="E473" i="3"/>
  <c r="E232" i="3"/>
  <c r="E552" i="3"/>
  <c r="E60" i="3"/>
  <c r="E248" i="3"/>
  <c r="E30" i="3"/>
  <c r="E195" i="3"/>
  <c r="E424" i="3"/>
  <c r="E262" i="3"/>
  <c r="E343" i="3"/>
  <c r="E142" i="3"/>
  <c r="E410" i="3"/>
  <c r="E468" i="3"/>
  <c r="E109" i="3"/>
  <c r="E185" i="3"/>
  <c r="E148" i="3"/>
  <c r="E27" i="3"/>
  <c r="E412" i="3"/>
  <c r="E469" i="3"/>
  <c r="E293" i="3"/>
  <c r="E222" i="3"/>
  <c r="E143" i="3"/>
  <c r="E547" i="3"/>
  <c r="E33" i="3"/>
  <c r="E513" i="3"/>
  <c r="E527" i="3"/>
  <c r="E444" i="3"/>
  <c r="E365" i="3"/>
  <c r="E445" i="3"/>
  <c r="E247" i="3"/>
  <c r="E223" i="3"/>
  <c r="E281" i="3"/>
  <c r="E51" i="3"/>
  <c r="Y6" i="3"/>
  <c r="E126" i="3"/>
  <c r="E305" i="3"/>
  <c r="E451" i="3"/>
  <c r="E245" i="3"/>
  <c r="E568" i="3"/>
  <c r="AS6" i="3"/>
  <c r="E399" i="3"/>
  <c r="E239" i="3"/>
  <c r="AI6" i="3"/>
  <c r="E134" i="3"/>
  <c r="E540" i="3"/>
  <c r="E477" i="3"/>
  <c r="E526" i="3"/>
  <c r="E370" i="3"/>
  <c r="E276" i="3"/>
  <c r="E43" i="3"/>
  <c r="E479" i="3"/>
  <c r="E258" i="3"/>
  <c r="E25" i="3"/>
  <c r="E102" i="3"/>
  <c r="E272" i="3"/>
  <c r="E401" i="3"/>
  <c r="E79" i="3"/>
  <c r="E550" i="3"/>
  <c r="E34" i="3"/>
  <c r="E141" i="3"/>
  <c r="E478" i="3"/>
  <c r="E434" i="3"/>
  <c r="E127" i="3"/>
  <c r="E367" i="3"/>
  <c r="Q6" i="3"/>
  <c r="E500" i="3"/>
  <c r="AE6" i="3"/>
  <c r="E113" i="3"/>
  <c r="E507" i="3"/>
  <c r="E275" i="3"/>
  <c r="L6" i="3"/>
  <c r="E429" i="3"/>
  <c r="E116" i="3"/>
  <c r="E372" i="3"/>
  <c r="E465" i="3"/>
  <c r="E154" i="3"/>
  <c r="E243" i="3"/>
  <c r="E309" i="3"/>
  <c r="E448" i="3"/>
  <c r="E74" i="3"/>
  <c r="E121" i="3"/>
  <c r="E224" i="3"/>
  <c r="E123" i="3"/>
  <c r="E87" i="3"/>
  <c r="E234" i="3"/>
  <c r="E458" i="3"/>
  <c r="E128" i="3"/>
  <c r="E29" i="3"/>
  <c r="E176" i="3"/>
  <c r="E256" i="3"/>
  <c r="E554" i="3"/>
  <c r="E491" i="3"/>
  <c r="E525" i="3"/>
  <c r="E319" i="3"/>
  <c r="K6" i="3"/>
  <c r="E456" i="3"/>
  <c r="E353" i="3"/>
  <c r="E569" i="3"/>
  <c r="E50" i="3"/>
  <c r="AJ6" i="3"/>
  <c r="E236" i="3"/>
  <c r="E546" i="3"/>
  <c r="E474" i="3"/>
  <c r="E146" i="3"/>
  <c r="E178" i="3"/>
  <c r="E455" i="3"/>
  <c r="E111" i="3"/>
  <c r="E39" i="3"/>
  <c r="E288" i="3"/>
  <c r="E88" i="3"/>
  <c r="E220" i="3"/>
  <c r="E453" i="3"/>
  <c r="E162" i="3"/>
  <c r="E229" i="3"/>
  <c r="E386" i="3"/>
  <c r="E287" i="3"/>
  <c r="E188" i="3"/>
  <c r="E306" i="3"/>
  <c r="E180" i="3"/>
  <c r="E551" i="3"/>
  <c r="E246" i="3"/>
  <c r="E16" i="3"/>
  <c r="E385" i="3"/>
  <c r="E95" i="3"/>
  <c r="E373" i="3"/>
  <c r="F105" i="46"/>
  <c r="F104" i="46"/>
  <c r="L105" i="46"/>
  <c r="L102" i="46"/>
  <c r="L109" i="46"/>
  <c r="B116" i="46"/>
  <c r="C116" i="46"/>
  <c r="G118" i="46"/>
  <c r="H118" i="46"/>
  <c r="I116" i="46"/>
  <c r="J116" i="46"/>
  <c r="K116" i="46"/>
  <c r="L116" i="46"/>
  <c r="M116" i="46"/>
  <c r="D116" i="46"/>
  <c r="E116" i="46"/>
  <c r="F116" i="46"/>
  <c r="G116" i="46"/>
  <c r="H116" i="46"/>
  <c r="D115" i="46"/>
  <c r="E115" i="46"/>
  <c r="F115" i="46"/>
  <c r="G115" i="46"/>
  <c r="H115" i="46"/>
  <c r="G109" i="46"/>
  <c r="G105" i="46"/>
  <c r="G106" i="46"/>
  <c r="I107" i="46"/>
  <c r="I109" i="46"/>
  <c r="I103" i="46"/>
  <c r="E13" i="3"/>
  <c r="E557" i="3"/>
  <c r="E523" i="3"/>
  <c r="E541" i="3"/>
  <c r="E544" i="3"/>
  <c r="E346" i="3"/>
  <c r="E252" i="3"/>
  <c r="E155" i="3"/>
  <c r="E519" i="3"/>
  <c r="E328" i="3"/>
  <c r="E138" i="3"/>
  <c r="E461" i="3"/>
  <c r="E130" i="3"/>
  <c r="E521" i="3"/>
  <c r="E340" i="3"/>
  <c r="E532" i="3"/>
  <c r="E564" i="3"/>
  <c r="E20" i="3"/>
  <c r="E509" i="3"/>
  <c r="E358" i="3"/>
  <c r="E18" i="3"/>
  <c r="E377" i="3"/>
  <c r="E17" i="3"/>
  <c r="E511" i="3"/>
  <c r="E322" i="3"/>
  <c r="S6" i="3"/>
  <c r="E26" i="3"/>
  <c r="E273" i="3"/>
  <c r="E553" i="3"/>
  <c r="E566" i="3"/>
  <c r="E497" i="3"/>
  <c r="E406" i="3"/>
  <c r="E227" i="3"/>
  <c r="E504" i="3"/>
  <c r="E516" i="3"/>
  <c r="E510" i="3"/>
  <c r="E572" i="3"/>
  <c r="E368" i="3"/>
  <c r="E522" i="3"/>
  <c r="AL6" i="3"/>
  <c r="E342" i="3"/>
  <c r="E351" i="3"/>
  <c r="E364" i="3"/>
  <c r="E163" i="3"/>
  <c r="E378" i="3"/>
  <c r="E226" i="3"/>
  <c r="E118" i="3"/>
  <c r="E169" i="3"/>
  <c r="E14" i="3"/>
  <c r="E106" i="3"/>
  <c r="E339" i="3"/>
  <c r="E210" i="3"/>
  <c r="E153" i="3"/>
  <c r="E90" i="3"/>
  <c r="E307" i="3"/>
  <c r="E177" i="3"/>
  <c r="E217" i="3"/>
  <c r="E403" i="3"/>
  <c r="E538" i="3"/>
  <c r="E530" i="3"/>
  <c r="E379" i="3"/>
  <c r="E300" i="3"/>
  <c r="E529" i="3"/>
  <c r="E433" i="3"/>
  <c r="E285" i="3"/>
  <c r="E58" i="3"/>
  <c r="E347" i="3"/>
  <c r="E145" i="3"/>
  <c r="E255" i="3"/>
  <c r="E402" i="3"/>
  <c r="E233" i="3"/>
  <c r="E363" i="3"/>
  <c r="J6" i="3"/>
  <c r="E441" i="3"/>
  <c r="E571" i="3"/>
  <c r="E562" i="3"/>
  <c r="E506" i="3"/>
  <c r="E338" i="3"/>
  <c r="E219" i="3"/>
  <c r="E269" i="3"/>
  <c r="E144" i="3"/>
  <c r="E181" i="3"/>
  <c r="T6" i="3"/>
  <c r="E42" i="3"/>
  <c r="E360" i="3"/>
  <c r="E284" i="3"/>
  <c r="E15" i="3"/>
  <c r="E277" i="3"/>
  <c r="E108" i="3"/>
  <c r="E508" i="3"/>
  <c r="E24" i="3"/>
  <c r="E66" i="3"/>
  <c r="AQ6" i="3"/>
  <c r="E480" i="3"/>
  <c r="E107" i="3"/>
  <c r="E560" i="3"/>
  <c r="E415" i="3"/>
  <c r="E392" i="3"/>
  <c r="E216" i="3"/>
  <c r="E396" i="3"/>
  <c r="E325" i="3"/>
  <c r="E334" i="3"/>
  <c r="E324" i="3"/>
  <c r="E228" i="3"/>
  <c r="E559" i="3"/>
  <c r="E40" i="3"/>
  <c r="AF6" i="3"/>
  <c r="E419" i="3"/>
  <c r="AG6" i="3"/>
  <c r="V6" i="3"/>
  <c r="E264" i="3"/>
  <c r="E486" i="3"/>
  <c r="E67" i="3"/>
  <c r="AT6" i="3"/>
  <c r="E37" i="3"/>
  <c r="E97" i="3"/>
  <c r="E80" i="3"/>
  <c r="E475" i="3"/>
  <c r="E28" i="3"/>
  <c r="E407" i="3"/>
  <c r="E425" i="3"/>
  <c r="E166" i="3"/>
  <c r="E204" i="3"/>
  <c r="E449" i="3"/>
  <c r="E259" i="3"/>
  <c r="E416" i="3"/>
  <c r="E160" i="3"/>
  <c r="E133" i="3"/>
  <c r="E357" i="3"/>
  <c r="E539" i="3"/>
  <c r="U6" i="3"/>
  <c r="E211" i="3"/>
  <c r="E198" i="3"/>
  <c r="E179" i="3"/>
  <c r="E291" i="3"/>
  <c r="E139" i="3"/>
  <c r="E72" i="3"/>
  <c r="E32" i="3"/>
  <c r="E190" i="3"/>
  <c r="E405" i="3"/>
  <c r="E313" i="3"/>
  <c r="E38" i="3"/>
  <c r="E431" i="3"/>
  <c r="E84" i="3"/>
  <c r="E164" i="3"/>
  <c r="E213" i="3"/>
  <c r="E345" i="3"/>
  <c r="E189" i="3"/>
  <c r="E482" i="3"/>
  <c r="E462" i="3"/>
  <c r="E263" i="3"/>
  <c r="E327" i="3"/>
  <c r="E91" i="3"/>
  <c r="E409" i="3"/>
  <c r="E114" i="3"/>
  <c r="E41" i="3"/>
  <c r="E92" i="3"/>
  <c r="E202" i="3"/>
  <c r="E304" i="3"/>
  <c r="E63" i="3"/>
  <c r="E266" i="3"/>
  <c r="E321" i="3"/>
  <c r="E439" i="3"/>
  <c r="AM6" i="3"/>
  <c r="E253" i="3"/>
  <c r="E423" i="3"/>
  <c r="E206" i="3"/>
  <c r="E278" i="3"/>
  <c r="E374" i="3"/>
  <c r="R6" i="3"/>
  <c r="E387" i="3"/>
  <c r="C103" i="46"/>
  <c r="E104" i="46"/>
  <c r="E107" i="46"/>
  <c r="M102" i="46"/>
  <c r="M104" i="46"/>
  <c r="C102" i="46"/>
  <c r="C107" i="46"/>
  <c r="Q53" i="15"/>
  <c r="Q61" i="15"/>
  <c r="E105" i="46"/>
  <c r="E109" i="46"/>
  <c r="E102" i="46"/>
  <c r="M109" i="46"/>
  <c r="M107" i="46"/>
  <c r="C105" i="46"/>
  <c r="C109" i="46"/>
  <c r="E66" i="39"/>
  <c r="E67" i="39"/>
  <c r="D26" i="59"/>
  <c r="T26" i="59"/>
  <c r="C18" i="59"/>
  <c r="D17" i="59"/>
  <c r="N47" i="59"/>
  <c r="N48" i="59"/>
  <c r="F11" i="21"/>
  <c r="J11" i="21"/>
  <c r="H11" i="21"/>
  <c r="D104" i="46"/>
  <c r="D109" i="46"/>
  <c r="N107" i="46"/>
  <c r="N105" i="46"/>
  <c r="N104" i="46"/>
  <c r="J109" i="46"/>
  <c r="J103" i="46"/>
  <c r="D22" i="46"/>
  <c r="D38" i="59"/>
  <c r="T38" i="59"/>
  <c r="D46" i="59"/>
  <c r="T46" i="59"/>
  <c r="J33" i="21"/>
  <c r="F33" i="21"/>
  <c r="H33" i="21"/>
  <c r="W36" i="33"/>
  <c r="AC36" i="33"/>
  <c r="AB36" i="33"/>
  <c r="T48" i="33"/>
  <c r="G48" i="33"/>
  <c r="G52" i="33"/>
  <c r="H52" i="33"/>
  <c r="U36" i="33"/>
  <c r="AB42" i="21"/>
  <c r="U42" i="21"/>
  <c r="AC42" i="21"/>
  <c r="W42" i="21"/>
  <c r="AA23" i="21"/>
  <c r="S23" i="21"/>
  <c r="AB23" i="21"/>
  <c r="U23" i="21"/>
  <c r="U15" i="21"/>
  <c r="AB15" i="21"/>
  <c r="S15" i="21"/>
  <c r="AA15" i="21"/>
  <c r="J13" i="39"/>
  <c r="F13" i="39"/>
  <c r="H13" i="39"/>
  <c r="AC34" i="39"/>
  <c r="W34" i="39"/>
  <c r="AA34" i="39"/>
  <c r="S34" i="39"/>
  <c r="E67" i="40"/>
  <c r="F65" i="40"/>
  <c r="E72" i="39"/>
  <c r="F70" i="39"/>
  <c r="AC7" i="21"/>
  <c r="W7" i="21"/>
  <c r="E59" i="40"/>
  <c r="E60" i="40"/>
  <c r="H109" i="46"/>
  <c r="H107" i="46"/>
  <c r="H105" i="46"/>
  <c r="H103" i="46"/>
  <c r="H102" i="46"/>
  <c r="S5" i="46"/>
  <c r="H106" i="46"/>
  <c r="E58" i="40"/>
  <c r="D21" i="12"/>
  <c r="C21" i="12"/>
  <c r="E16" i="6"/>
  <c r="AY6" i="3"/>
  <c r="E3" i="6"/>
  <c r="AC6" i="3"/>
  <c r="H6" i="3"/>
  <c r="C115" i="46"/>
  <c r="S3" i="46"/>
  <c r="S2" i="46"/>
  <c r="S4" i="46"/>
  <c r="S7" i="46"/>
  <c r="AC7" i="35"/>
  <c r="V38" i="35"/>
  <c r="I38" i="35"/>
  <c r="G43" i="35"/>
  <c r="H43" i="35"/>
  <c r="W7" i="35"/>
  <c r="K52" i="37"/>
  <c r="L52" i="37"/>
  <c r="M52" i="37"/>
  <c r="N52" i="37"/>
  <c r="O52" i="37"/>
  <c r="AC7" i="33"/>
  <c r="V48" i="33"/>
  <c r="I48" i="33"/>
  <c r="W7" i="33"/>
  <c r="H46" i="36"/>
  <c r="I46" i="36"/>
  <c r="J46" i="36"/>
  <c r="K46" i="36"/>
  <c r="L46" i="36"/>
  <c r="M46" i="36"/>
  <c r="N46" i="36"/>
  <c r="O46" i="36"/>
  <c r="I53" i="34"/>
  <c r="J53" i="34"/>
  <c r="R50" i="34"/>
  <c r="E49" i="34"/>
  <c r="AA7" i="33"/>
  <c r="R48" i="33"/>
  <c r="S7" i="33"/>
  <c r="H7" i="36"/>
  <c r="G53" i="34"/>
  <c r="H53" i="34"/>
  <c r="G54" i="34"/>
  <c r="H54" i="34"/>
  <c r="G42" i="35"/>
  <c r="H42" i="35"/>
  <c r="R39" i="35"/>
  <c r="E38" i="35"/>
  <c r="J5" i="15"/>
  <c r="J24" i="15"/>
  <c r="C40" i="44"/>
  <c r="C34" i="44"/>
  <c r="J7" i="44"/>
  <c r="C52" i="15"/>
  <c r="C47" i="15"/>
  <c r="C10" i="15"/>
  <c r="C5" i="15"/>
  <c r="F21" i="43"/>
  <c r="F24" i="15"/>
  <c r="C24" i="15"/>
  <c r="F26" i="44"/>
  <c r="C26" i="44"/>
  <c r="F26" i="12"/>
  <c r="C27" i="12"/>
  <c r="D26" i="12"/>
  <c r="C32" i="12"/>
  <c r="D30" i="12"/>
  <c r="L52" i="44"/>
  <c r="F41" i="15"/>
  <c r="D113" i="46"/>
  <c r="G53" i="33"/>
  <c r="H53" i="33"/>
  <c r="AA33" i="21"/>
  <c r="S33" i="21"/>
  <c r="AB11" i="21"/>
  <c r="U11" i="21"/>
  <c r="S11" i="21"/>
  <c r="AA11" i="21"/>
  <c r="D18" i="59"/>
  <c r="M20" i="46"/>
  <c r="C19" i="46"/>
  <c r="T18" i="59"/>
  <c r="J7" i="36"/>
  <c r="W7" i="36"/>
  <c r="F7" i="36"/>
  <c r="J7" i="37"/>
  <c r="AC7" i="37"/>
  <c r="V42" i="37"/>
  <c r="I42" i="37"/>
  <c r="T2" i="46"/>
  <c r="V2" i="46"/>
  <c r="U33" i="21"/>
  <c r="AB33" i="21"/>
  <c r="W33" i="21"/>
  <c r="AC33" i="21"/>
  <c r="W11" i="21"/>
  <c r="AC11" i="21"/>
  <c r="V48" i="21"/>
  <c r="I48" i="21"/>
  <c r="I52" i="21"/>
  <c r="J52" i="21"/>
  <c r="F68" i="15"/>
  <c r="AA13" i="39"/>
  <c r="S13" i="39"/>
  <c r="AB13" i="39"/>
  <c r="U13" i="39"/>
  <c r="AC13" i="39"/>
  <c r="W13" i="39"/>
  <c r="F72" i="39"/>
  <c r="G70" i="39"/>
  <c r="F67" i="40"/>
  <c r="G65" i="40"/>
  <c r="S6" i="46"/>
  <c r="T6" i="46"/>
  <c r="V6" i="46"/>
  <c r="AY196" i="3"/>
  <c r="AY373" i="3"/>
  <c r="AY332" i="3"/>
  <c r="AY297" i="3"/>
  <c r="AY455" i="3"/>
  <c r="AY210" i="3"/>
  <c r="AY547" i="3"/>
  <c r="AY490" i="3"/>
  <c r="AY433" i="3"/>
  <c r="BO6" i="3"/>
  <c r="AY339" i="3"/>
  <c r="AY393" i="3"/>
  <c r="AY545" i="3"/>
  <c r="AY189" i="3"/>
  <c r="AY287" i="3"/>
  <c r="AY242" i="3"/>
  <c r="AY489" i="3"/>
  <c r="AY458" i="3"/>
  <c r="AY500" i="3"/>
  <c r="AY431" i="3"/>
  <c r="AY86" i="3"/>
  <c r="AY229" i="3"/>
  <c r="AY288" i="3"/>
  <c r="AY360" i="3"/>
  <c r="AY323" i="3"/>
  <c r="AY151" i="3"/>
  <c r="BT6" i="3"/>
  <c r="BQ6" i="3"/>
  <c r="AY319" i="3"/>
  <c r="AY184" i="3"/>
  <c r="AY413" i="3"/>
  <c r="AY225" i="3"/>
  <c r="AY166" i="3"/>
  <c r="AY453" i="3"/>
  <c r="AY249" i="3"/>
  <c r="AY520" i="3"/>
  <c r="AY206" i="3"/>
  <c r="AY131" i="3"/>
  <c r="AY329" i="3"/>
  <c r="AY233" i="3"/>
  <c r="AY397" i="3"/>
  <c r="AY262" i="3"/>
  <c r="AY144" i="3"/>
  <c r="AY13" i="3"/>
  <c r="AY103" i="3"/>
  <c r="AY21" i="3"/>
  <c r="AY52" i="3"/>
  <c r="AY191" i="3"/>
  <c r="AY204" i="3"/>
  <c r="AY92" i="3"/>
  <c r="AY31" i="3"/>
  <c r="AY118" i="3"/>
  <c r="AY234" i="3"/>
  <c r="AY209" i="3"/>
  <c r="AY317" i="3"/>
  <c r="AY416" i="3"/>
  <c r="AY402" i="3"/>
  <c r="AY55"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125" i="3"/>
  <c r="AY313" i="3"/>
  <c r="AY512" i="3"/>
  <c r="AY56" i="3"/>
  <c r="AY410" i="3"/>
  <c r="AY387" i="3"/>
  <c r="AY417" i="3"/>
  <c r="AY152" i="3"/>
  <c r="AY239" i="3"/>
  <c r="AY314" i="3"/>
  <c r="AY448" i="3"/>
  <c r="AY221" i="3"/>
  <c r="AY396" i="3"/>
  <c r="AY211" i="3"/>
  <c r="AY380" i="3"/>
  <c r="AY446" i="3"/>
  <c r="AY29" i="3"/>
  <c r="AY138" i="3"/>
  <c r="AY365" i="3"/>
  <c r="AY349" i="3"/>
  <c r="AY73" i="3"/>
  <c r="AY64" i="3"/>
  <c r="AY42" i="3"/>
  <c r="AY515" i="3"/>
  <c r="AY175" i="3"/>
  <c r="AY264" i="3"/>
  <c r="AY467" i="3"/>
  <c r="AY479" i="3"/>
  <c r="AY181" i="3"/>
  <c r="AY250" i="3"/>
  <c r="AY343" i="3"/>
  <c r="AY560" i="3"/>
  <c r="AY65" i="3"/>
  <c r="AY141" i="3"/>
  <c r="AY265" i="3"/>
  <c r="AY310" i="3"/>
  <c r="AY350" i="3"/>
  <c r="AY459" i="3"/>
  <c r="AY50" i="3"/>
  <c r="AY226" i="3"/>
  <c r="AY376" i="3"/>
  <c r="AY464" i="3"/>
  <c r="AY504" i="3"/>
  <c r="AY426" i="3"/>
  <c r="AY130" i="3"/>
  <c r="AY93" i="3"/>
  <c r="AY289" i="3"/>
  <c r="AY434" i="3"/>
  <c r="AY418" i="3"/>
  <c r="AY478" i="3"/>
  <c r="AY546" i="3"/>
  <c r="AY107" i="3"/>
  <c r="AY24" i="3"/>
  <c r="AY85" i="3"/>
  <c r="AY303" i="3"/>
  <c r="AY406" i="3"/>
  <c r="AY562" i="3"/>
  <c r="AY22" i="3"/>
  <c r="AY162" i="3"/>
  <c r="AY367" i="3"/>
  <c r="AY316" i="3"/>
  <c r="AY471" i="3"/>
  <c r="AY171" i="3"/>
  <c r="AY57" i="3"/>
  <c r="BL6" i="3"/>
  <c r="AY154" i="3"/>
  <c r="AY160" i="3"/>
  <c r="AY75" i="3"/>
  <c r="AY277" i="3"/>
  <c r="AY384" i="3"/>
  <c r="AY425" i="3"/>
  <c r="AY202" i="3"/>
  <c r="AY139" i="3"/>
  <c r="AY286" i="3"/>
  <c r="AY364" i="3"/>
  <c r="AY398" i="3"/>
  <c r="AY70" i="3"/>
  <c r="AY169" i="3"/>
  <c r="AY238" i="3"/>
  <c r="AY348" i="3"/>
  <c r="BK6" i="3"/>
  <c r="AY72" i="3"/>
  <c r="AY115" i="3"/>
  <c r="AY241" i="3"/>
  <c r="AY346" i="3"/>
  <c r="AY435" i="3"/>
  <c r="AY100" i="3"/>
  <c r="AY47" i="3"/>
  <c r="AY126" i="3"/>
  <c r="AY106" i="3"/>
  <c r="AY291" i="3"/>
  <c r="AY361" i="3"/>
  <c r="AY422" i="3"/>
  <c r="AY117" i="3"/>
  <c r="AY280" i="3"/>
  <c r="AY374" i="3"/>
  <c r="AY311" i="3"/>
  <c r="AY123" i="3"/>
  <c r="AY172" i="3"/>
  <c r="AY183" i="3"/>
  <c r="AY257" i="3"/>
  <c r="AY337" i="3"/>
  <c r="BS6" i="3"/>
  <c r="AY25" i="3"/>
  <c r="AY254" i="3"/>
  <c r="AY341" i="3"/>
  <c r="AY389" i="3"/>
  <c r="AY81" i="3"/>
  <c r="AY155" i="3"/>
  <c r="AY295" i="3"/>
  <c r="AY302" i="3"/>
  <c r="AY342" i="3"/>
  <c r="AY450" i="3"/>
  <c r="AY194" i="3"/>
  <c r="AY122" i="3"/>
  <c r="AY279" i="3"/>
  <c r="AY307" i="3"/>
  <c r="AY16" i="3"/>
  <c r="AY457" i="3"/>
  <c r="AY438" i="3"/>
  <c r="AY412" i="3"/>
  <c r="AY278" i="3"/>
  <c r="BC6" i="3"/>
  <c r="AY336" i="3"/>
  <c r="AY201" i="3"/>
  <c r="AY253" i="3"/>
  <c r="AY543" i="3"/>
  <c r="AY83" i="3"/>
  <c r="AY45" i="3"/>
  <c r="AY383" i="3"/>
  <c r="AY170" i="3"/>
  <c r="AY271" i="3"/>
  <c r="AY445" i="3"/>
  <c r="AY200" i="3"/>
  <c r="AY335" i="3"/>
  <c r="AY111" i="3"/>
  <c r="AY224" i="3"/>
  <c r="AY400" i="3"/>
  <c r="AY161" i="3"/>
  <c r="AY340" i="3"/>
  <c r="AY101" i="3"/>
  <c r="AY272" i="3"/>
  <c r="AY305" i="3"/>
  <c r="AY405" i="3"/>
  <c r="AY429" i="3"/>
  <c r="AY442" i="3"/>
  <c r="AY43" i="3"/>
  <c r="AY572" i="3"/>
  <c r="AY3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82" i="3"/>
  <c r="AY217" i="3"/>
  <c r="AY427" i="3"/>
  <c r="AY114" i="3"/>
  <c r="AY304" i="3"/>
  <c r="AY38" i="3"/>
  <c r="AY227" i="3"/>
  <c r="AY558" i="3"/>
  <c r="AY120" i="3"/>
  <c r="AY424" i="3"/>
  <c r="AY30" i="3"/>
  <c r="AY230" i="3"/>
  <c r="AY542" i="3"/>
  <c r="AY132" i="3"/>
  <c r="AY382" i="3"/>
  <c r="AY420" i="3"/>
  <c r="AY555" i="3"/>
  <c r="AY188" i="3"/>
  <c r="AY143" i="3"/>
  <c r="AY157" i="3"/>
  <c r="AY352"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356" i="3"/>
  <c r="AY369" i="3"/>
  <c r="AY245" i="3"/>
  <c r="AY268" i="3"/>
  <c r="AY407" i="3"/>
  <c r="AY140" i="3"/>
  <c r="AY461" i="3"/>
  <c r="AY66" i="3"/>
  <c r="AY186" i="3"/>
  <c r="AY54" i="3"/>
  <c r="AY353" i="3"/>
  <c r="AY460" i="3"/>
  <c r="AY338" i="3"/>
  <c r="AY312" i="3"/>
  <c r="AY284" i="3"/>
  <c r="AY444" i="3"/>
  <c r="AY79" i="3"/>
  <c r="AY134" i="3"/>
  <c r="AY419" i="3"/>
  <c r="AY261" i="3"/>
  <c r="AY243" i="3"/>
  <c r="AY507" i="3"/>
  <c r="AY499" i="3"/>
  <c r="AY514" i="3"/>
  <c r="AY298" i="3"/>
  <c r="AY502" i="3"/>
  <c r="AY327" i="3"/>
  <c r="AY285" i="3"/>
  <c r="BR6" i="3"/>
  <c r="AY355" i="3"/>
  <c r="AY492" i="3"/>
  <c r="AY163" i="3"/>
  <c r="AY199" i="3"/>
  <c r="AY244" i="3"/>
  <c r="AY388" i="3"/>
  <c r="AY156" i="3"/>
  <c r="AY537" i="3"/>
  <c r="AY49" i="3"/>
  <c r="AY371" i="3"/>
  <c r="AY197" i="3"/>
  <c r="AY321" i="3"/>
  <c r="BH6" i="3"/>
  <c r="AY501" i="3"/>
  <c r="AY99" i="3"/>
  <c r="AY481" i="3"/>
  <c r="AY207" i="3"/>
  <c r="AY510" i="3"/>
  <c r="AY40" i="3"/>
  <c r="AY401" i="3"/>
  <c r="AY281" i="3"/>
  <c r="AY495" i="3"/>
  <c r="AY322" i="3"/>
  <c r="AY267" i="3"/>
  <c r="AY395" i="3"/>
  <c r="AY363" i="3"/>
  <c r="AY491" i="3"/>
  <c r="AY441" i="3"/>
  <c r="AY482" i="3"/>
  <c r="AY474" i="3"/>
  <c r="AY496" i="3"/>
  <c r="AY466" i="3"/>
  <c r="AY301" i="3"/>
  <c r="AY300" i="3"/>
  <c r="AY524" i="3"/>
  <c r="AY177" i="3"/>
  <c r="AY164" i="3"/>
  <c r="AY377" i="3"/>
  <c r="AY84" i="3"/>
  <c r="AY357" i="3"/>
  <c r="AY563" i="3"/>
  <c r="AY505" i="3"/>
  <c r="AY540" i="3"/>
  <c r="AY222" i="3"/>
  <c r="AY480" i="3"/>
  <c r="BP6" i="3"/>
  <c r="AY137" i="3"/>
  <c r="AY378" i="3"/>
  <c r="AY53" i="3"/>
  <c r="AY219" i="3"/>
  <c r="BA6" i="3"/>
  <c r="AY359" i="3"/>
  <c r="AY437" i="3"/>
  <c r="AY493" i="3"/>
  <c r="AY35" i="3"/>
  <c r="AY124" i="3"/>
  <c r="AY525" i="3"/>
  <c r="AY428" i="3"/>
  <c r="AY526" i="3"/>
  <c r="AY48" i="3"/>
  <c r="AY19" i="3"/>
  <c r="AY215" i="3"/>
  <c r="AY513" i="3"/>
  <c r="AY61" i="3"/>
  <c r="AY347" i="3"/>
  <c r="AY23" i="3"/>
  <c r="AY523" i="3"/>
  <c r="AY535" i="3"/>
  <c r="AY517" i="3"/>
  <c r="BJ6" i="3"/>
  <c r="AY536" i="3"/>
  <c r="AY511" i="3"/>
  <c r="AY94" i="3"/>
  <c r="AY51" i="3"/>
  <c r="AY462" i="3"/>
  <c r="AY318" i="3"/>
  <c r="AY127" i="3"/>
  <c r="AY518" i="3"/>
  <c r="AY503" i="3"/>
  <c r="AY299" i="3"/>
  <c r="AY447" i="3"/>
  <c r="AY185" i="3"/>
  <c r="AY483" i="3"/>
  <c r="AY108" i="3"/>
  <c r="AY60" i="3"/>
  <c r="AY334" i="3"/>
  <c r="AY270" i="3"/>
  <c r="AY571" i="3"/>
  <c r="AY176" i="3"/>
  <c r="AY456" i="3"/>
  <c r="AY78" i="3"/>
  <c r="AY328" i="3"/>
  <c r="AY71" i="3"/>
  <c r="AY195" i="3"/>
  <c r="AY252" i="3"/>
  <c r="AY423" i="3"/>
  <c r="AY18" i="3"/>
  <c r="AY32" i="3"/>
  <c r="AY20" i="3"/>
  <c r="AY358" i="3"/>
  <c r="AY223" i="3"/>
  <c r="AY235" i="3"/>
  <c r="AY205" i="3"/>
  <c r="AY554" i="3"/>
  <c r="AY532" i="3"/>
  <c r="AY74" i="3"/>
  <c r="AY147" i="3"/>
  <c r="AY430" i="3"/>
  <c r="AY27" i="3"/>
  <c r="BN6" i="3"/>
  <c r="AY552" i="3"/>
  <c r="AY527" i="3"/>
  <c r="AY519" i="3"/>
  <c r="AY325" i="3"/>
  <c r="AY345" i="3"/>
  <c r="AY237" i="3"/>
  <c r="AY470" i="3"/>
  <c r="AY173" i="3"/>
  <c r="AY119" i="3"/>
  <c r="AY59" i="3"/>
  <c r="AY533" i="3"/>
  <c r="AY522" i="3"/>
  <c r="AY89" i="3"/>
  <c r="AY306" i="3"/>
  <c r="AY102" i="3"/>
  <c r="AY33" i="3"/>
  <c r="BG6" i="3"/>
  <c r="AY391" i="3"/>
  <c r="AY454" i="3"/>
  <c r="AY403" i="3"/>
  <c r="AY110" i="3"/>
  <c r="AY213" i="3"/>
  <c r="AY404" i="3"/>
  <c r="AY497" i="3"/>
  <c r="AY220" i="3"/>
  <c r="AY15" i="3"/>
  <c r="AY385" i="3"/>
  <c r="AY174" i="3"/>
  <c r="AY399" i="3"/>
  <c r="AY485" i="3"/>
  <c r="AY370" i="3"/>
  <c r="AY44" i="3"/>
  <c r="AY98" i="3"/>
  <c r="AY569" i="3"/>
  <c r="AY283" i="3"/>
  <c r="AY76" i="3"/>
  <c r="AY465" i="3"/>
  <c r="AY320" i="3"/>
  <c r="AY528" i="3"/>
  <c r="AY236" i="3"/>
  <c r="AY516" i="3"/>
  <c r="BD6" i="3"/>
  <c r="AY567" i="3"/>
  <c r="AY276" i="3"/>
  <c r="AY538" i="3"/>
  <c r="AY436" i="3"/>
  <c r="AY534" i="3"/>
  <c r="AY113" i="3"/>
  <c r="AY557" i="3"/>
  <c r="AY192" i="3"/>
  <c r="AY508" i="3"/>
  <c r="AY121" i="3"/>
  <c r="BE6" i="3"/>
  <c r="AY354" i="3"/>
  <c r="AY521" i="3"/>
  <c r="AY255" i="3"/>
  <c r="AY570" i="3"/>
  <c r="AY165" i="3"/>
  <c r="AY231" i="3"/>
  <c r="AY263" i="3"/>
  <c r="AY469" i="3"/>
  <c r="BI6" i="3"/>
  <c r="AY468" i="3"/>
  <c r="AY133" i="3"/>
  <c r="AY68" i="3"/>
  <c r="AY17" i="3"/>
  <c r="AY484" i="3"/>
  <c r="AY390" i="3"/>
  <c r="BF6" i="3"/>
  <c r="AY553" i="3"/>
  <c r="AY565" i="3"/>
  <c r="AY531" i="3"/>
  <c r="AY561" i="3"/>
  <c r="AY232" i="3"/>
  <c r="AY148" i="3"/>
  <c r="AY394" i="3"/>
  <c r="AY282" i="3"/>
  <c r="AY544" i="3"/>
  <c r="AY330" i="3"/>
  <c r="AY91" i="3"/>
  <c r="AY449" i="3"/>
  <c r="AY273" i="3"/>
  <c r="AY494" i="3"/>
  <c r="AY566" i="3"/>
  <c r="AY212" i="3"/>
  <c r="AY488" i="3"/>
  <c r="BB6" i="3"/>
  <c r="AY568" i="3"/>
  <c r="AY251" i="3"/>
  <c r="AY451" i="3"/>
  <c r="AY296" i="3"/>
  <c r="AY452" i="3"/>
  <c r="AY292" i="3"/>
  <c r="AY477" i="3"/>
  <c r="AY180" i="3"/>
  <c r="AY439" i="3"/>
  <c r="AY167" i="3"/>
  <c r="AY541" i="3"/>
  <c r="AY551" i="3"/>
  <c r="AY473" i="3"/>
  <c r="AY136" i="3"/>
  <c r="AY14" i="3"/>
  <c r="AY498" i="3"/>
  <c r="AY415" i="3"/>
  <c r="AY208" i="3"/>
  <c r="AY153" i="3"/>
  <c r="AY375" i="3"/>
  <c r="AY559" i="3"/>
  <c r="AY506" i="3"/>
  <c r="AY240" i="3"/>
  <c r="AY475" i="3"/>
  <c r="AY331" i="3"/>
  <c r="AY487" i="3"/>
  <c r="AY509" i="3"/>
  <c r="AY193" i="3"/>
  <c r="AY247" i="3"/>
  <c r="AY351" i="3"/>
  <c r="AY63" i="3"/>
  <c r="AY440" i="3"/>
  <c r="AY362" i="3"/>
  <c r="AY260" i="3"/>
  <c r="AY228" i="3"/>
  <c r="AY266" i="3"/>
  <c r="AY112" i="3"/>
  <c r="AY90" i="3"/>
  <c r="AY344" i="3"/>
  <c r="AY190" i="3"/>
  <c r="AY421" i="3"/>
  <c r="BM6" i="3"/>
  <c r="AY539" i="3"/>
  <c r="AY564" i="3"/>
  <c r="D16" i="12"/>
  <c r="E6" i="6"/>
  <c r="D10" i="11"/>
  <c r="D46" i="9"/>
  <c r="D16" i="43"/>
  <c r="C16" i="43"/>
  <c r="L38" i="9"/>
  <c r="B14" i="66"/>
  <c r="B1" i="66"/>
  <c r="C21" i="4"/>
  <c r="O5" i="54"/>
  <c r="B45" i="63"/>
  <c r="D45" i="9"/>
  <c r="E6" i="3"/>
  <c r="J18" i="15"/>
  <c r="J26" i="15"/>
  <c r="J29" i="15"/>
  <c r="E43" i="35"/>
  <c r="F43" i="35"/>
  <c r="E42" i="35"/>
  <c r="F42" i="35"/>
  <c r="AC7" i="36"/>
  <c r="V36" i="36"/>
  <c r="I36" i="36"/>
  <c r="R49" i="33"/>
  <c r="E48" i="33"/>
  <c r="E54" i="34"/>
  <c r="F54" i="34"/>
  <c r="E53" i="34"/>
  <c r="F53" i="34"/>
  <c r="I54" i="34"/>
  <c r="J54" i="34"/>
  <c r="AA7" i="36"/>
  <c r="R36" i="36"/>
  <c r="S7" i="36"/>
  <c r="W7" i="37"/>
  <c r="I42" i="35"/>
  <c r="J42" i="35"/>
  <c r="I43" i="35"/>
  <c r="J43" i="35"/>
  <c r="C38" i="35"/>
  <c r="C39" i="35"/>
  <c r="B3" i="35"/>
  <c r="B2" i="35"/>
  <c r="AB7" i="36"/>
  <c r="T36" i="36"/>
  <c r="G36" i="36"/>
  <c r="U7" i="36"/>
  <c r="F7" i="37"/>
  <c r="C50" i="34"/>
  <c r="B3" i="34"/>
  <c r="B2" i="34"/>
  <c r="C49" i="34"/>
  <c r="I52" i="33"/>
  <c r="J52" i="33"/>
  <c r="H7" i="37"/>
  <c r="Q69" i="44"/>
  <c r="L58" i="44"/>
  <c r="L61" i="44"/>
  <c r="L47" i="44"/>
  <c r="C32" i="15"/>
  <c r="C38" i="15"/>
  <c r="C23" i="43"/>
  <c r="D21" i="43"/>
  <c r="C59" i="15"/>
  <c r="C65" i="15"/>
  <c r="J28" i="44"/>
  <c r="J31" i="44"/>
  <c r="J20" i="44"/>
  <c r="J26" i="44"/>
  <c r="C19" i="44"/>
  <c r="R48" i="21"/>
  <c r="E48" i="21"/>
  <c r="I53" i="21"/>
  <c r="J53" i="21"/>
  <c r="C34" i="46"/>
  <c r="T10" i="46"/>
  <c r="V10" i="46"/>
  <c r="T14" i="46"/>
  <c r="V14" i="46"/>
  <c r="T9" i="46"/>
  <c r="V9" i="46"/>
  <c r="T13" i="46"/>
  <c r="V13" i="46"/>
  <c r="C37" i="46"/>
  <c r="C33" i="46"/>
  <c r="C36" i="46"/>
  <c r="T8" i="46"/>
  <c r="V8" i="46"/>
  <c r="T12" i="46"/>
  <c r="V12" i="46"/>
  <c r="T16" i="46"/>
  <c r="V16" i="46"/>
  <c r="T11" i="46"/>
  <c r="V11" i="46"/>
  <c r="T15" i="46"/>
  <c r="V15" i="46"/>
  <c r="C29" i="46"/>
  <c r="C39" i="46"/>
  <c r="E39" i="46"/>
  <c r="C35" i="46"/>
  <c r="C38" i="46"/>
  <c r="T48" i="21"/>
  <c r="G48" i="21"/>
  <c r="T5" i="46"/>
  <c r="V5" i="46"/>
  <c r="T4" i="46"/>
  <c r="V4" i="46"/>
  <c r="T7" i="46"/>
  <c r="V7" i="46"/>
  <c r="T3" i="46"/>
  <c r="V3" i="46"/>
  <c r="H65" i="40"/>
  <c r="G67" i="40"/>
  <c r="H70" i="39"/>
  <c r="G72" i="39"/>
  <c r="D19" i="12"/>
  <c r="C19" i="12"/>
  <c r="C16" i="12"/>
  <c r="E45" i="9"/>
  <c r="E46" i="9"/>
  <c r="F45" i="9"/>
  <c r="E63" i="40"/>
  <c r="D19" i="6"/>
  <c r="D25" i="6"/>
  <c r="D13" i="6"/>
  <c r="D23" i="6"/>
  <c r="D28" i="6"/>
  <c r="D8" i="6"/>
  <c r="E68" i="39"/>
  <c r="K38" i="9"/>
  <c r="C14" i="66"/>
  <c r="B2" i="66"/>
  <c r="D26" i="6"/>
  <c r="D11" i="6"/>
  <c r="D9" i="6"/>
  <c r="D29" i="6"/>
  <c r="D15" i="6"/>
  <c r="C22" i="4"/>
  <c r="D10" i="6"/>
  <c r="D6" i="6"/>
  <c r="D14" i="6"/>
  <c r="D20" i="6"/>
  <c r="D24" i="6"/>
  <c r="D22" i="6"/>
  <c r="D12" i="6"/>
  <c r="D5" i="6"/>
  <c r="F46" i="9"/>
  <c r="C7" i="66"/>
  <c r="C8" i="66"/>
  <c r="D22" i="12"/>
  <c r="C22" i="12"/>
  <c r="D13" i="11"/>
  <c r="C13" i="11"/>
  <c r="U7" i="37"/>
  <c r="AB7" i="37"/>
  <c r="T42" i="37"/>
  <c r="G42" i="37"/>
  <c r="G40" i="36"/>
  <c r="H40" i="36"/>
  <c r="G41" i="36"/>
  <c r="H41" i="36"/>
  <c r="E53" i="33"/>
  <c r="F53" i="33"/>
  <c r="E52" i="33"/>
  <c r="F52" i="33"/>
  <c r="I40" i="36"/>
  <c r="J40" i="36"/>
  <c r="AA7" i="37"/>
  <c r="R42" i="37"/>
  <c r="S7" i="37"/>
  <c r="E36" i="36"/>
  <c r="I41" i="36"/>
  <c r="J41" i="36"/>
  <c r="R37" i="36"/>
  <c r="I53" i="33"/>
  <c r="J53" i="33"/>
  <c r="I46" i="37"/>
  <c r="J46" i="37"/>
  <c r="C48" i="33"/>
  <c r="C49" i="33"/>
  <c r="Q59" i="44"/>
  <c r="Q68" i="44"/>
  <c r="Q67" i="44"/>
  <c r="Q49" i="44"/>
  <c r="Q55" i="44"/>
  <c r="Q58" i="44"/>
  <c r="E52" i="21"/>
  <c r="F52" i="21"/>
  <c r="R49" i="21"/>
  <c r="C49" i="21"/>
  <c r="G52" i="21"/>
  <c r="H52" i="21"/>
  <c r="G53" i="21"/>
  <c r="H53" i="21"/>
  <c r="E35" i="46"/>
  <c r="G35" i="46"/>
  <c r="I35" i="46"/>
  <c r="E29" i="46"/>
  <c r="C30" i="46"/>
  <c r="E30" i="46"/>
  <c r="G36" i="46"/>
  <c r="I36" i="46"/>
  <c r="E36" i="46"/>
  <c r="G37" i="46"/>
  <c r="I37" i="46"/>
  <c r="E37" i="46"/>
  <c r="E53" i="21"/>
  <c r="F53" i="21"/>
  <c r="B3" i="33"/>
  <c r="B2" i="33"/>
  <c r="R24" i="31"/>
  <c r="G38" i="46"/>
  <c r="I38" i="46"/>
  <c r="E38" i="46"/>
  <c r="G33" i="46"/>
  <c r="I33" i="46"/>
  <c r="E33" i="46"/>
  <c r="G34" i="46"/>
  <c r="I34" i="46"/>
  <c r="E34" i="46"/>
  <c r="Q64" i="44"/>
  <c r="H72" i="39"/>
  <c r="I70" i="39"/>
  <c r="H67" i="40"/>
  <c r="I65" i="40"/>
  <c r="D30" i="6"/>
  <c r="D16" i="6"/>
  <c r="A6" i="64"/>
  <c r="A20" i="51"/>
  <c r="B15" i="63"/>
  <c r="A6" i="51"/>
  <c r="B7" i="63"/>
  <c r="A20" i="64"/>
  <c r="N5" i="54"/>
  <c r="B43" i="63"/>
  <c r="D7" i="66"/>
  <c r="D8" i="66"/>
  <c r="E40" i="36"/>
  <c r="F40" i="36"/>
  <c r="E41" i="36"/>
  <c r="F41" i="36"/>
  <c r="E42" i="37"/>
  <c r="R43" i="37"/>
  <c r="C36" i="36"/>
  <c r="C37" i="36"/>
  <c r="B3" i="36"/>
  <c r="B2" i="36"/>
  <c r="G47" i="37"/>
  <c r="H47" i="37"/>
  <c r="G46" i="37"/>
  <c r="H46" i="37"/>
  <c r="Q77" i="44"/>
  <c r="F37" i="44"/>
  <c r="F7" i="67"/>
  <c r="M23" i="44"/>
  <c r="C48" i="21"/>
  <c r="E4" i="67"/>
  <c r="C27" i="46"/>
  <c r="S24" i="31"/>
  <c r="R34" i="31"/>
  <c r="S34" i="31"/>
  <c r="R30" i="31"/>
  <c r="S30" i="31"/>
  <c r="R26" i="31"/>
  <c r="S26" i="31"/>
  <c r="R33" i="31"/>
  <c r="S33" i="31"/>
  <c r="R29" i="31"/>
  <c r="S29" i="31"/>
  <c r="R25" i="31"/>
  <c r="S25" i="31"/>
  <c r="R32" i="31"/>
  <c r="S32" i="31"/>
  <c r="R28" i="31"/>
  <c r="S28" i="31"/>
  <c r="R35" i="31"/>
  <c r="S35" i="31"/>
  <c r="R31" i="31"/>
  <c r="S31" i="31"/>
  <c r="R27" i="31"/>
  <c r="S27" i="31"/>
  <c r="C26" i="46"/>
  <c r="B3" i="21"/>
  <c r="B2" i="21"/>
  <c r="C10" i="12"/>
  <c r="C8" i="12"/>
  <c r="D8" i="12"/>
  <c r="J22" i="44"/>
  <c r="C36" i="44"/>
  <c r="J65" i="40"/>
  <c r="I67" i="40"/>
  <c r="I72" i="39"/>
  <c r="J70" i="39"/>
  <c r="C42" i="37"/>
  <c r="C43" i="37"/>
  <c r="B3" i="37"/>
  <c r="B2" i="37"/>
  <c r="E46" i="37"/>
  <c r="F46" i="37"/>
  <c r="E47" i="37"/>
  <c r="F47" i="37"/>
  <c r="I47" i="37"/>
  <c r="J47" i="37"/>
  <c r="E7" i="67"/>
  <c r="E8" i="12"/>
  <c r="E10" i="12"/>
  <c r="F8" i="12"/>
  <c r="F10" i="12"/>
  <c r="E3" i="67"/>
  <c r="B2" i="46"/>
  <c r="S22" i="31"/>
  <c r="J72" i="39"/>
  <c r="K70" i="39"/>
  <c r="J67" i="40"/>
  <c r="K65" i="40"/>
  <c r="B7" i="67"/>
  <c r="B2" i="67"/>
  <c r="D4" i="46"/>
  <c r="B4" i="46"/>
  <c r="B3" i="46"/>
  <c r="R22" i="31"/>
  <c r="B21" i="31"/>
  <c r="G8" i="12"/>
  <c r="B20" i="31"/>
  <c r="G10" i="12"/>
  <c r="K67" i="40"/>
  <c r="L65" i="40"/>
  <c r="K72" i="39"/>
  <c r="L70" i="39"/>
  <c r="B4" i="67"/>
  <c r="B3" i="67"/>
  <c r="M65" i="40"/>
  <c r="L67" i="40"/>
  <c r="L72" i="39"/>
  <c r="M70" i="39"/>
  <c r="M72" i="39"/>
  <c r="N70" i="39"/>
  <c r="N72" i="39"/>
  <c r="J9" i="39"/>
  <c r="N65" i="40"/>
  <c r="N67" i="40"/>
  <c r="M67" i="40"/>
  <c r="J9" i="40"/>
  <c r="H9" i="40"/>
  <c r="F9" i="39"/>
  <c r="AA9" i="39"/>
  <c r="H9" i="39"/>
  <c r="AC9" i="40"/>
  <c r="V44" i="40"/>
  <c r="I44" i="40"/>
  <c r="W9" i="40"/>
  <c r="F9" i="40"/>
  <c r="AC9" i="39"/>
  <c r="W9" i="39"/>
  <c r="U9" i="40"/>
  <c r="AB9" i="40"/>
  <c r="T44" i="40"/>
  <c r="G44" i="40"/>
  <c r="G48" i="40"/>
  <c r="H48" i="40"/>
  <c r="AB9" i="39"/>
  <c r="U9" i="39"/>
  <c r="S9" i="39"/>
  <c r="S9" i="40"/>
  <c r="AA9" i="40"/>
  <c r="R44" i="40"/>
  <c r="G49" i="40"/>
  <c r="H49" i="40"/>
  <c r="I48" i="40"/>
  <c r="J48" i="40"/>
  <c r="E44" i="40"/>
  <c r="R45" i="40"/>
  <c r="C45" i="40"/>
  <c r="C44" i="40"/>
  <c r="E48" i="40"/>
  <c r="F48" i="40"/>
  <c r="E49" i="40"/>
  <c r="F49" i="40"/>
  <c r="I49" i="40"/>
  <c r="J49" i="40"/>
  <c r="B55" i="40"/>
  <c r="F55" i="40"/>
  <c r="B57" i="40"/>
  <c r="F57" i="40"/>
  <c r="B60" i="40"/>
  <c r="F60" i="40"/>
  <c r="B59" i="40"/>
  <c r="F59" i="40"/>
  <c r="B62" i="40"/>
  <c r="F62" i="40"/>
  <c r="F63" i="40"/>
  <c r="B2" i="40"/>
  <c r="B61" i="40"/>
  <c r="F61" i="40"/>
  <c r="B54" i="40"/>
  <c r="F54" i="40"/>
  <c r="B53" i="40"/>
  <c r="F53" i="40"/>
  <c r="B56" i="40"/>
  <c r="F56" i="40"/>
  <c r="B58" i="40"/>
  <c r="F58" i="40"/>
  <c r="B3" i="40"/>
  <c r="B5" i="40"/>
  <c r="B4" i="40"/>
  <c r="F27" i="6"/>
  <c r="F31" i="6"/>
  <c r="E21" i="6"/>
  <c r="K8" i="1"/>
  <c r="K16" i="1"/>
  <c r="D21" i="6"/>
  <c r="D9" i="12"/>
  <c r="D10" i="12"/>
  <c r="D27" i="6"/>
  <c r="D31" i="6"/>
  <c r="I6" i="6"/>
  <c r="M8" i="1"/>
  <c r="Q16" i="1"/>
  <c r="AP16" i="1"/>
  <c r="F22" i="11"/>
  <c r="G16" i="1"/>
  <c r="H16" i="1"/>
  <c r="E27" i="6"/>
  <c r="E31" i="6"/>
  <c r="I5" i="6"/>
  <c r="K22" i="6"/>
  <c r="K20" i="6"/>
  <c r="K23" i="6"/>
  <c r="K24" i="6"/>
  <c r="K25" i="6"/>
  <c r="M25" i="6"/>
  <c r="I25" i="6"/>
  <c r="K19" i="6"/>
  <c r="K26" i="6"/>
  <c r="M26" i="6"/>
  <c r="I26" i="6"/>
  <c r="H12" i="40"/>
  <c r="H12" i="39"/>
  <c r="F12" i="40"/>
  <c r="J12" i="40"/>
  <c r="F12" i="39"/>
  <c r="J12" i="39"/>
  <c r="F24" i="43"/>
  <c r="C26" i="43"/>
  <c r="D24" i="43"/>
  <c r="F18" i="11"/>
  <c r="F33" i="12"/>
  <c r="C34" i="12"/>
  <c r="D33" i="12"/>
  <c r="K21" i="6"/>
  <c r="M16" i="1"/>
  <c r="C15" i="43"/>
  <c r="O8" i="1"/>
  <c r="O16" i="1"/>
  <c r="P8" i="1"/>
  <c r="N16" i="1"/>
  <c r="C29" i="43"/>
  <c r="AC12" i="39"/>
  <c r="V49" i="39"/>
  <c r="I49" i="39"/>
  <c r="W12" i="39"/>
  <c r="W12" i="40"/>
  <c r="AC12" i="40"/>
  <c r="AB12" i="39"/>
  <c r="T49" i="39"/>
  <c r="G49" i="39"/>
  <c r="U12" i="39"/>
  <c r="H26" i="6"/>
  <c r="R26" i="6"/>
  <c r="S26" i="6"/>
  <c r="H25" i="6"/>
  <c r="R25" i="6"/>
  <c r="S25" i="6"/>
  <c r="S10" i="1"/>
  <c r="M23" i="6"/>
  <c r="I23" i="6"/>
  <c r="M22" i="6"/>
  <c r="I22" i="6"/>
  <c r="S9" i="1"/>
  <c r="P16" i="1"/>
  <c r="C13" i="12"/>
  <c r="C15" i="12"/>
  <c r="M21" i="6"/>
  <c r="I21" i="6"/>
  <c r="S8" i="1"/>
  <c r="L16" i="1"/>
  <c r="C13" i="43"/>
  <c r="S12" i="39"/>
  <c r="AA12" i="39"/>
  <c r="R49" i="39"/>
  <c r="AA12" i="40"/>
  <c r="S12" i="40"/>
  <c r="AB12" i="40"/>
  <c r="U12" i="40"/>
  <c r="K27" i="6"/>
  <c r="M19" i="6"/>
  <c r="S6" i="1"/>
  <c r="S11" i="1"/>
  <c r="M24" i="6"/>
  <c r="I24" i="6"/>
  <c r="S7" i="1"/>
  <c r="M20" i="6"/>
  <c r="I20" i="6"/>
  <c r="C17" i="15"/>
  <c r="M27" i="6"/>
  <c r="I19" i="6"/>
  <c r="S23" i="6"/>
  <c r="H23" i="6"/>
  <c r="R23" i="6"/>
  <c r="R10" i="1"/>
  <c r="E49" i="39"/>
  <c r="I54" i="39"/>
  <c r="J54" i="39"/>
  <c r="R50" i="39"/>
  <c r="C17" i="43"/>
  <c r="C14" i="43"/>
  <c r="S20" i="6"/>
  <c r="H20" i="6"/>
  <c r="R20" i="6"/>
  <c r="R7" i="1"/>
  <c r="S24" i="6"/>
  <c r="H24" i="6"/>
  <c r="R24" i="6"/>
  <c r="R11" i="1"/>
  <c r="S16" i="1"/>
  <c r="T8" i="1"/>
  <c r="H21" i="6"/>
  <c r="R21" i="6"/>
  <c r="R8" i="1"/>
  <c r="S21" i="6"/>
  <c r="C14" i="12"/>
  <c r="C17" i="12"/>
  <c r="H22" i="6"/>
  <c r="R22" i="6"/>
  <c r="R9" i="1"/>
  <c r="S22" i="6"/>
  <c r="G54" i="39"/>
  <c r="H54" i="39"/>
  <c r="G53" i="39"/>
  <c r="H53" i="39"/>
  <c r="I53" i="39"/>
  <c r="J53" i="39"/>
  <c r="F35" i="15"/>
  <c r="M21" i="15"/>
  <c r="C34" i="15"/>
  <c r="F62" i="15"/>
  <c r="C61" i="15"/>
  <c r="J20" i="15"/>
  <c r="T10" i="1"/>
  <c r="C18" i="12"/>
  <c r="C18" i="43"/>
  <c r="C19" i="43"/>
  <c r="C22" i="43"/>
  <c r="C21" i="43"/>
  <c r="E54" i="39"/>
  <c r="F54" i="39"/>
  <c r="E53" i="39"/>
  <c r="F53" i="39"/>
  <c r="T12" i="1"/>
  <c r="T13" i="1"/>
  <c r="T6" i="1"/>
  <c r="C49" i="39"/>
  <c r="C50" i="39"/>
  <c r="T7" i="1"/>
  <c r="T9" i="1"/>
  <c r="I27" i="6"/>
  <c r="S19" i="6"/>
  <c r="S27" i="6"/>
  <c r="H19" i="6"/>
  <c r="T11" i="1"/>
  <c r="C14" i="15"/>
  <c r="C16" i="44"/>
  <c r="C25" i="43"/>
  <c r="C24" i="43"/>
  <c r="C28" i="43"/>
  <c r="C30" i="43"/>
  <c r="C32" i="43"/>
  <c r="B2" i="43"/>
  <c r="T16" i="1"/>
  <c r="C18" i="15"/>
  <c r="C15" i="15"/>
  <c r="C17" i="44"/>
  <c r="C20" i="44"/>
  <c r="B62" i="39"/>
  <c r="F62" i="39"/>
  <c r="B59" i="39"/>
  <c r="F59" i="39"/>
  <c r="B60" i="39"/>
  <c r="F60" i="39"/>
  <c r="B66" i="39"/>
  <c r="F66" i="39"/>
  <c r="B65" i="39"/>
  <c r="F65" i="39"/>
  <c r="B63" i="39"/>
  <c r="F63" i="39"/>
  <c r="B61" i="39"/>
  <c r="F61" i="39"/>
  <c r="B67" i="39"/>
  <c r="F67" i="39"/>
  <c r="B58" i="39"/>
  <c r="F58" i="39"/>
  <c r="B64" i="39"/>
  <c r="F64" i="39"/>
  <c r="H27" i="6"/>
  <c r="R19" i="6"/>
  <c r="C19" i="15"/>
  <c r="C20" i="15"/>
  <c r="C23" i="15"/>
  <c r="B3" i="43"/>
  <c r="B4" i="43"/>
  <c r="B5" i="43"/>
  <c r="C21" i="44"/>
  <c r="C22" i="44"/>
  <c r="C25" i="44"/>
  <c r="R6" i="1"/>
  <c r="R16" i="1"/>
  <c r="R27" i="6"/>
  <c r="F68" i="39"/>
  <c r="B2" i="39"/>
  <c r="D19" i="9"/>
  <c r="B29" i="9"/>
  <c r="L44" i="9"/>
  <c r="C26" i="15"/>
  <c r="C29" i="15"/>
  <c r="Q50" i="15"/>
  <c r="C28" i="44"/>
  <c r="C31" i="44"/>
  <c r="B5" i="39"/>
  <c r="B3" i="39"/>
  <c r="B4" i="39"/>
  <c r="D20" i="9"/>
  <c r="D21" i="9"/>
  <c r="J14" i="15"/>
  <c r="J22" i="15"/>
  <c r="C56" i="15"/>
  <c r="C60" i="15"/>
  <c r="C58" i="15"/>
  <c r="J19" i="15"/>
  <c r="J17" i="15"/>
  <c r="C38" i="44"/>
  <c r="C35" i="44"/>
  <c r="C33" i="44"/>
  <c r="C15" i="44"/>
  <c r="Q72" i="44"/>
  <c r="J21" i="44"/>
  <c r="J19" i="44"/>
  <c r="Q51" i="44"/>
  <c r="J16" i="44"/>
  <c r="J24" i="44"/>
  <c r="C13" i="15"/>
  <c r="Q71" i="15"/>
  <c r="C33" i="15"/>
  <c r="C31" i="15"/>
  <c r="C36" i="15"/>
  <c r="C63" i="15"/>
  <c r="C55" i="15"/>
  <c r="C64" i="15"/>
  <c r="J13" i="15"/>
  <c r="J23" i="15"/>
  <c r="J16" i="15"/>
  <c r="J25" i="15"/>
  <c r="J15" i="44"/>
  <c r="J25" i="44"/>
  <c r="J18" i="44"/>
  <c r="J27" i="44"/>
  <c r="C39" i="44"/>
  <c r="C32" i="44"/>
  <c r="C42" i="44"/>
  <c r="Q71" i="44"/>
  <c r="Q70" i="44"/>
  <c r="J35" i="15"/>
  <c r="C43" i="44"/>
  <c r="C37" i="15"/>
  <c r="C30" i="15"/>
  <c r="C39" i="15"/>
  <c r="Q70" i="15"/>
  <c r="Q69" i="15"/>
  <c r="C57" i="15"/>
  <c r="C66" i="15"/>
  <c r="C67" i="15"/>
  <c r="C70" i="15"/>
  <c r="C44" i="44"/>
  <c r="C45" i="44"/>
  <c r="B2" i="44"/>
  <c r="B4" i="44"/>
  <c r="L57" i="15"/>
  <c r="L60" i="15"/>
  <c r="J39" i="15"/>
  <c r="J40" i="15"/>
  <c r="C40" i="15"/>
  <c r="Q66" i="15"/>
  <c r="L51" i="15"/>
  <c r="Q68" i="15"/>
  <c r="Q67" i="15"/>
  <c r="L46" i="15"/>
  <c r="B2" i="15"/>
  <c r="Q58" i="15"/>
  <c r="Q48" i="15"/>
  <c r="Q54" i="15"/>
  <c r="C46" i="15"/>
  <c r="B5" i="44"/>
  <c r="C43" i="15"/>
  <c r="B3" i="44"/>
  <c r="J42" i="15"/>
  <c r="J43" i="15"/>
  <c r="Q57" i="15"/>
  <c r="Q76" i="15"/>
  <c r="B3" i="15"/>
  <c r="H8" i="12"/>
  <c r="H10" i="12"/>
  <c r="C6" i="12"/>
  <c r="Q63" i="15"/>
  <c r="C24" i="12"/>
  <c r="C29" i="12"/>
  <c r="C11" i="11"/>
  <c r="C10" i="11"/>
  <c r="C17" i="11"/>
  <c r="C18" i="11"/>
  <c r="C19" i="11"/>
  <c r="C20" i="11"/>
  <c r="C21" i="11"/>
  <c r="C22" i="11"/>
  <c r="C23" i="11"/>
  <c r="B2" i="11"/>
  <c r="B4" i="11"/>
  <c r="B5" i="11"/>
  <c r="B3" i="11"/>
  <c r="C20" i="12"/>
  <c r="C23" i="12"/>
  <c r="C35" i="12"/>
  <c r="C33" i="12"/>
  <c r="C28" i="12"/>
  <c r="C26" i="12"/>
  <c r="C31" i="12"/>
  <c r="C30" i="12"/>
  <c r="C36" i="12"/>
  <c r="B2" i="12"/>
  <c r="C19" i="9"/>
  <c r="D22" i="9"/>
  <c r="B28" i="9"/>
  <c r="L43" i="9"/>
  <c r="G19" i="9"/>
  <c r="B4" i="12"/>
  <c r="B5" i="12"/>
  <c r="B3" i="12"/>
  <c r="C21" i="9"/>
  <c r="C20" i="9"/>
  <c r="G20" i="9"/>
  <c r="G21" i="9"/>
  <c r="D28" i="9"/>
  <c r="N43" i="9"/>
  <c r="G22" i="9"/>
  <c r="C32" i="9"/>
  <c r="C34" i="9"/>
  <c r="O43" i="9"/>
  <c r="O38" i="9"/>
  <c r="C35" i="9"/>
  <c r="F42" i="9"/>
  <c r="C33" i="9"/>
  <c r="C42" i="9"/>
  <c r="N68" i="9"/>
  <c r="R5" i="54"/>
  <c r="B48" i="63"/>
  <c r="D14" i="66"/>
  <c r="D63" i="9"/>
  <c r="C44" i="9"/>
  <c r="D42" i="9"/>
  <c r="Q5" i="54"/>
  <c r="B47" i="63"/>
  <c r="N38" i="9"/>
  <c r="K28" i="9"/>
  <c r="K25" i="9"/>
  <c r="K26" i="9"/>
  <c r="M38" i="9"/>
  <c r="K27" i="9"/>
  <c r="E42" i="9"/>
  <c r="P5" i="54"/>
  <c r="B46" i="63"/>
  <c r="C96" i="9"/>
  <c r="C91" i="9"/>
  <c r="D70" i="9"/>
  <c r="D77" i="9"/>
  <c r="N75" i="9"/>
  <c r="C103" i="9"/>
  <c r="D71" i="9"/>
  <c r="D66" i="9"/>
  <c r="N72" i="9"/>
  <c r="C111" i="9"/>
  <c r="C104" i="9"/>
  <c r="C90" i="9"/>
  <c r="C97" i="9"/>
  <c r="C82" i="9"/>
  <c r="C81" i="9"/>
  <c r="C85" i="9"/>
  <c r="C86" i="9"/>
  <c r="D72" i="9"/>
  <c r="F44" i="9"/>
  <c r="D44" i="9"/>
  <c r="G14" i="66"/>
  <c r="B6" i="66"/>
  <c r="E44" i="9"/>
  <c r="O39" i="9"/>
  <c r="N69" i="9"/>
  <c r="E14" i="66"/>
  <c r="F14" i="66"/>
  <c r="D6" i="66"/>
  <c r="C6" i="66"/>
  <c r="M86" i="9"/>
  <c r="N86" i="9"/>
  <c r="M84" i="9"/>
  <c r="N84" i="9"/>
  <c r="M88" i="9"/>
  <c r="N88" i="9"/>
  <c r="M87" i="9"/>
  <c r="N87" i="9"/>
  <c r="M85" i="9"/>
  <c r="N85" i="9"/>
  <c r="M83" i="9"/>
  <c r="N83" i="9"/>
  <c r="C113" i="9"/>
  <c r="K29" i="9"/>
  <c r="K30" i="9"/>
  <c r="R6" i="54"/>
  <c r="B50" i="63"/>
  <c r="C98" i="9"/>
  <c r="E98" i="9"/>
  <c r="E99" i="9"/>
  <c r="N89" i="9"/>
  <c r="O89" i="9"/>
  <c r="C114" i="9"/>
  <c r="E114" i="9"/>
  <c r="E115" i="9"/>
  <c r="C99" i="9"/>
  <c r="C115" i="9"/>
  <c r="D76" i="9"/>
  <c r="D74" i="9"/>
  <c r="N74" i="9"/>
  <c r="O77" i="9"/>
  <c r="Q77" i="9"/>
  <c r="O78" i="9"/>
  <c r="O79" i="9"/>
  <c r="O80" i="9"/>
  <c r="O81" i="9"/>
  <c r="D15" i="66"/>
  <c r="B5" i="66"/>
  <c r="C5" i="66"/>
  <c r="D5" i="66"/>
  <c r="F15" i="66"/>
  <c r="E1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<sst xmlns="http://schemas.openxmlformats.org/spreadsheetml/2006/main" count="10754" uniqueCount="4467">
  <si>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</si>
  <si>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</si>
  <si>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</si>
  <si>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</si>
  <si>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</si>
  <si>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</si>
  <si>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</si>
  <si>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</si>
  <si>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</si>
  <si>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</si>
  <si>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</si>
  <si>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</si>
  <si>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</si>
  <si>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</si>
  <si>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</si>
  <si>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</si>
  <si>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</si>
  <si>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</si>
  <si>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</si>
  <si>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</si>
  <si>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</si>
  <si>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</si>
  <si>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</si>
  <si>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</si>
  <si>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</si>
  <si>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</si>
  <si>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</si>
  <si>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</si>
  <si>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</si>
  <si>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</si>
  <si>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</si>
  <si>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</si>
  <si>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</si>
  <si>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</si>
  <si>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</si>
  <si>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</si>
  <si>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</si>
  <si>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</si>
  <si>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</si>
  <si>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</si>
  <si>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</si>
  <si>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</si>
  <si>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</si>
  <si>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</si>
  <si>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</si>
  <si>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</si>
  <si>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</si>
  <si>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</si>
  <si>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</si>
  <si>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</si>
  <si>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</si>
  <si>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</si>
  <si>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</si>
  <si>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</si>
  <si>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</si>
  <si>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</si>
  <si>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</si>
  <si>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</si>
  <si>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</si>
  <si>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</si>
  <si>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</si>
  <si>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</si>
  <si>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</si>
  <si>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</si>
  <si>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</si>
  <si>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</si>
  <si>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</si>
  <si>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</si>
  <si>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</si>
  <si>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</si>
  <si>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</si>
  <si>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</si>
  <si>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</si>
  <si>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</si>
  <si>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</si>
  <si>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</si>
  <si>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</si>
  <si>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</si>
  <si>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</si>
  <si>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</si>
  <si>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</si>
  <si>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</si>
  <si>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</si>
  <si>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</si>
  <si>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</si>
  <si>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</si>
  <si>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</si>
  <si>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</si>
  <si>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</si>
  <si>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</si>
  <si>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</si>
  <si>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</si>
  <si>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</si>
  <si>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</si>
  <si>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</si>
  <si>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</si>
  <si>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</si>
  <si>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</si>
  <si>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</si>
  <si>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</si>
  <si>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</si>
  <si>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</si>
  <si>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</si>
  <si>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</si>
  <si>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</si>
  <si>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</si>
  <si>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</si>
  <si>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</si>
  <si>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</si>
  <si>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</si>
  <si>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</si>
  <si>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</si>
  <si>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</si>
  <si>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</si>
  <si>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</si>
  <si>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</si>
  <si>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</si>
  <si>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</si>
  <si>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</si>
  <si>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</si>
  <si>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</si>
  <si>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</si>
  <si>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</si>
  <si>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</si>
  <si>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</si>
  <si>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</si>
  <si>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</si>
  <si>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</si>
  <si>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</si>
  <si>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</si>
  <si>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</si>
  <si>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</si>
  <si>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</si>
  <si>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</si>
  <si>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</si>
  <si>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</si>
  <si>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</si>
  <si>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</si>
  <si>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</si>
  <si>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</si>
  <si>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</si>
  <si>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</si>
  <si>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</si>
  <si>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</si>
  <si>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</si>
  <si>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</si>
  <si>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</si>
  <si>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</si>
  <si>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</si>
  <si>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</si>
  <si>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</si>
  <si>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</si>
  <si>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</si>
  <si>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</si>
  <si>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</si>
  <si>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</si>
  <si>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</si>
  <si>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</si>
  <si>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</si>
  <si>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</si>
  <si>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</si>
  <si>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</si>
  <si>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</si>
  <si>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</si>
  <si>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</si>
  <si>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</si>
  <si>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</si>
  <si>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</si>
  <si>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</si>
  <si>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</si>
  <si>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</si>
  <si>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</si>
  <si>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</si>
  <si>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</si>
  <si>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</si>
  <si>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</si>
  <si>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</si>
  <si>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</si>
  <si>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</si>
  <si>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</si>
  <si>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</si>
  <si>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</si>
  <si>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</si>
  <si>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</si>
  <si>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</si>
  <si>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</si>
  <si>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</si>
  <si>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</si>
  <si>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</si>
  <si>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</si>
  <si>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</si>
  <si>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</si>
  <si>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</si>
  <si>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</si>
  <si>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</si>
  <si>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</si>
  <si>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</si>
  <si>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</si>
  <si>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</si>
  <si>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</si>
  <si>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</si>
  <si>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</si>
  <si>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</si>
  <si>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</si>
  <si>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</si>
  <si>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</si>
  <si>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</si>
  <si>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</si>
  <si>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</si>
  <si>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</si>
  <si>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</si>
  <si>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</si>
  <si>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</si>
  <si>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</si>
  <si>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</si>
  <si>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</si>
  <si>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</si>
  <si>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</si>
  <si>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</si>
  <si>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</si>
  <si>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</si>
  <si>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</si>
  <si>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</si>
  <si>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</si>
  <si>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</si>
  <si>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</si>
  <si>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</si>
  <si>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</si>
  <si>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</si>
  <si>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</si>
  <si>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</si>
  <si>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</si>
  <si>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</si>
  <si>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</si>
  <si>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</si>
  <si>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</si>
  <si>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</si>
  <si>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</si>
  <si>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</si>
  <si>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</si>
  <si>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</si>
  <si>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</si>
  <si>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</si>
  <si>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</si>
  <si>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</si>
  <si>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</si>
  <si>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</si>
  <si>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</si>
  <si>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</si>
  <si>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</si>
  <si>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</si>
  <si>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</si>
  <si>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</si>
  <si>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</si>
  <si>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</si>
  <si>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</si>
  <si>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</si>
  <si>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</si>
  <si>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</si>
  <si>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</si>
  <si>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</si>
  <si>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</si>
  <si>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</si>
  <si>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</si>
  <si>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</si>
  <si>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</si>
  <si>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</si>
  <si>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</si>
  <si>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</si>
  <si>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</si>
  <si>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</si>
  <si>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</si>
  <si>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</si>
  <si>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</si>
  <si>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</si>
  <si>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</si>
  <si>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</si>
  <si>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</si>
  <si>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</si>
  <si>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</si>
  <si>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</si>
  <si>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</si>
  <si>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</si>
  <si>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</si>
  <si>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</si>
  <si>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</si>
  <si>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</si>
  <si>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</si>
  <si>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</si>
  <si>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</si>
  <si>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</si>
  <si>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</si>
  <si>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</si>
  <si>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</si>
  <si>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</si>
  <si>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</si>
  <si>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</si>
  <si>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</si>
  <si>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</si>
  <si>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</si>
  <si>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</si>
  <si>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</si>
  <si>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</si>
  <si>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</si>
  <si>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</si>
  <si>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</si>
  <si>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</si>
  <si>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</si>
  <si>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</si>
  <si>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</si>
  <si>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</si>
  <si>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</si>
  <si>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</si>
  <si>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</si>
  <si>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</si>
  <si>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</si>
  <si>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</si>
  <si>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</si>
  <si>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</si>
  <si>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</si>
  <si>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</si>
  <si>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</si>
  <si>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</si>
  <si>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</si>
  <si>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</si>
  <si>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</si>
  <si>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</si>
  <si>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</si>
  <si>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</si>
  <si>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</si>
  <si>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</si>
  <si>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</si>
  <si>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</si>
  <si>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</si>
  <si>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</si>
  <si>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</si>
  <si>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</si>
  <si>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</si>
  <si>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</si>
  <si>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</si>
  <si>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</si>
  <si>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</si>
  <si>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</si>
  <si>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</si>
  <si>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</si>
  <si>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</si>
  <si>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</si>
  <si>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</si>
  <si>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</si>
  <si>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</si>
  <si>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</si>
  <si>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</si>
  <si>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</si>
  <si>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</si>
  <si>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</si>
  <si>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</si>
  <si>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</si>
  <si>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</si>
  <si>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</si>
  <si>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</si>
  <si>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</si>
  <si>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</si>
  <si>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</si>
  <si>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</si>
  <si>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</si>
  <si>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</si>
  <si>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</si>
  <si>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</si>
  <si>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</si>
  <si>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</si>
  <si>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</si>
  <si>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</si>
  <si>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</si>
  <si>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</si>
  <si>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</si>
  <si>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</si>
  <si>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</si>
  <si>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</si>
  <si>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</si>
  <si>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</si>
  <si>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</si>
  <si>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</si>
  <si>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</si>
  <si>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</si>
  <si>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</si>
  <si>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</si>
  <si>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</si>
  <si>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</si>
  <si>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</si>
  <si>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</si>
  <si>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</si>
  <si>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</si>
  <si>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</si>
  <si>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</si>
  <si>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</si>
  <si>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</si>
  <si>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</si>
  <si>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</si>
  <si>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</si>
  <si>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</si>
  <si>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</si>
  <si>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</si>
  <si>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</si>
  <si>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</si>
  <si>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</si>
  <si>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</si>
  <si>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</si>
  <si>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</si>
  <si>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</si>
  <si>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</si>
  <si>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</si>
  <si>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</si>
  <si>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</si>
  <si>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</si>
  <si>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</si>
  <si>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</si>
  <si>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</si>
  <si>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</si>
  <si>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</si>
  <si>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</si>
  <si>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</si>
  <si>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</si>
  <si>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</si>
  <si>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</si>
  <si>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</si>
  <si>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</si>
  <si>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</si>
  <si>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</si>
  <si>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</si>
  <si>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</si>
  <si>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</si>
  <si>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</si>
  <si>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</si>
  <si>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</si>
  <si>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</si>
  <si>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</si>
  <si>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</si>
  <si>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</si>
  <si>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</si>
  <si>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</si>
  <si>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</si>
  <si>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</si>
  <si>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</si>
  <si>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</si>
  <si>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</si>
  <si>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</si>
  <si>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</si>
  <si>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</si>
  <si>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</si>
  <si>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</si>
  <si>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</si>
  <si>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</si>
  <si>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</si>
  <si>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</si>
  <si>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</si>
  <si>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</si>
  <si>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</si>
  <si>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</si>
  <si>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</si>
  <si>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</si>
  <si>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</si>
  <si>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</si>
  <si>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</si>
  <si>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</si>
  <si>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</si>
  <si>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</si>
  <si>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</si>
  <si>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</si>
  <si>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</si>
  <si>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</si>
  <si>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</si>
  <si>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</si>
  <si>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</si>
  <si>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</si>
  <si>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</si>
  <si>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</si>
  <si>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</si>
  <si>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</si>
  <si>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</si>
  <si>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</si>
  <si>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</si>
  <si>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</si>
  <si>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</si>
  <si>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</si>
  <si>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</si>
  <si>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</si>
  <si>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</si>
  <si>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</si>
  <si>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</si>
  <si>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</si>
  <si>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</si>
  <si>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</si>
  <si>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</si>
  <si>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</si>
  <si>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</si>
  <si>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</si>
  <si>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</si>
  <si>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</si>
  <si>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</si>
  <si>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</si>
  <si>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</si>
  <si>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</si>
  <si>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</si>
  <si>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</si>
  <si>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</si>
  <si>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</si>
  <si>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</si>
  <si>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</si>
  <si>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</si>
  <si>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</si>
  <si>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</si>
  <si>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</si>
  <si>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</si>
  <si>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</si>
  <si>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</si>
  <si>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</si>
  <si>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</si>
  <si>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</si>
  <si>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</si>
  <si>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</si>
  <si>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</si>
  <si>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</si>
  <si>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</si>
  <si>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</si>
  <si>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</si>
  <si>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</si>
  <si>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</si>
  <si>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</si>
  <si>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</si>
  <si>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</si>
  <si>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</si>
  <si>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</si>
  <si>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</si>
  <si>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</si>
  <si>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</si>
  <si>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</si>
  <si>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</si>
  <si>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</si>
  <si>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</si>
  <si>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</si>
  <si>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</si>
  <si>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</si>
  <si>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</si>
  <si>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</si>
  <si>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</si>
  <si>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</si>
  <si>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</si>
  <si>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</si>
  <si>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</si>
  <si>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</si>
  <si>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</si>
  <si>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</si>
  <si>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</si>
  <si>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</si>
  <si>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</si>
  <si>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</si>
  <si>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</si>
  <si>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</si>
  <si>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</si>
  <si>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</si>
  <si>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</si>
  <si>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</si>
  <si>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</si>
  <si>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</si>
  <si>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</si>
  <si>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</si>
  <si>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</si>
  <si>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</si>
  <si>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</si>
  <si>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</si>
  <si>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</si>
  <si>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</si>
  <si>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</si>
  <si>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</si>
  <si>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</si>
  <si>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</si>
  <si>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</si>
  <si>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</si>
  <si>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</si>
  <si>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</si>
  <si>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</si>
  <si>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</si>
  <si>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</si>
  <si>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</si>
  <si>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</si>
  <si>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</si>
  <si>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</si>
  <si>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</si>
  <si>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</si>
  <si>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</si>
  <si>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</si>
  <si>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</si>
  <si>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</si>
  <si>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</si>
  <si>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</si>
  <si>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</si>
  <si>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</si>
  <si>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</si>
  <si>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</si>
  <si>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</si>
  <si>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</si>
  <si>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</si>
  <si>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</si>
  <si>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</si>
  <si>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</si>
  <si>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</si>
  <si>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</si>
  <si>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</si>
  <si>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</si>
  <si>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</si>
  <si>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</si>
  <si>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</si>
  <si>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</si>
  <si>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</si>
  <si>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</si>
  <si>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</si>
  <si>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</si>
  <si>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</si>
  <si>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</si>
  <si>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</si>
  <si>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</si>
  <si>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</si>
  <si>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</si>
  <si>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</si>
  <si>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</si>
  <si>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</si>
  <si>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</si>
  <si>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</si>
  <si>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</si>
  <si>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</si>
  <si>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</si>
  <si>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</si>
  <si>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</si>
  <si>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</si>
  <si>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</si>
  <si>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</si>
  <si>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</si>
  <si>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</si>
  <si>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</si>
  <si>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</si>
  <si>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</si>
  <si>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</si>
  <si>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</si>
  <si>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</si>
  <si>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</si>
  <si>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</si>
  <si>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</si>
  <si>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</si>
  <si>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</si>
  <si>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</si>
  <si>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</si>
  <si>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</si>
  <si>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</si>
  <si>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</si>
  <si>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</si>
  <si>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</si>
  <si>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</si>
  <si>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</si>
  <si>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</si>
  <si>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</si>
  <si>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</si>
  <si>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</si>
  <si>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</si>
  <si>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</si>
  <si>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</si>
  <si>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</si>
  <si>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</si>
  <si>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</si>
  <si>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</si>
  <si>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</si>
  <si>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</si>
  <si>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</si>
  <si>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</si>
  <si>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</si>
  <si>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</si>
  <si>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</si>
  <si>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</si>
  <si>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</si>
  <si>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</si>
  <si>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</si>
  <si>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</si>
  <si>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</si>
  <si>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</si>
  <si>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</si>
  <si>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</si>
  <si>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</si>
  <si>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</si>
  <si>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</si>
  <si>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</si>
  <si>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</si>
  <si>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</si>
  <si>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</si>
  <si>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</si>
  <si>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</si>
  <si>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</si>
  <si>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</si>
  <si>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</si>
  <si>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</si>
  <si>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</si>
  <si>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</si>
  <si>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</si>
  <si>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</si>
  <si>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</si>
  <si>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</si>
  <si>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</si>
  <si>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</si>
  <si>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</si>
  <si>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</si>
  <si>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</si>
  <si>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</si>
  <si>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</si>
  <si>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</si>
  <si>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</si>
  <si>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</si>
  <si>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</si>
  <si>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</si>
  <si>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</si>
  <si>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</si>
  <si>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</si>
  <si>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</si>
  <si>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</si>
  <si>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</si>
  <si>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</si>
  <si>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</si>
  <si>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</si>
  <si>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</si>
  <si>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</si>
  <si>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</si>
  <si>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</si>
  <si>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</si>
  <si>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</si>
  <si>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</si>
  <si>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</si>
  <si>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</si>
  <si>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</si>
  <si>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</si>
  <si>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</si>
  <si>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</si>
  <si>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</si>
  <si>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</si>
  <si>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</si>
  <si>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</si>
  <si>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</si>
  <si>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</si>
  <si>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</si>
  <si>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</si>
  <si>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</si>
  <si>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</si>
  <si>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</si>
  <si>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</si>
  <si>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</si>
  <si>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</si>
  <si>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</si>
  <si>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</si>
  <si>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</si>
  <si>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</si>
  <si>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</si>
  <si>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</si>
  <si>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</si>
  <si>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</si>
  <si>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</si>
  <si>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</si>
  <si>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</si>
  <si>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</si>
  <si>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</si>
  <si>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</si>
  <si>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</si>
  <si>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</si>
  <si>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</si>
  <si>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</si>
  <si>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</si>
  <si>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</si>
  <si>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</si>
  <si>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</si>
  <si>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</si>
  <si>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</si>
  <si>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</si>
  <si>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</si>
  <si>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</si>
  <si>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</si>
  <si>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</si>
  <si>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</si>
  <si>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</si>
  <si>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</si>
  <si>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</si>
  <si>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</si>
  <si>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</si>
  <si>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</si>
  <si>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</si>
  <si>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</si>
  <si>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</si>
  <si>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</si>
  <si>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</si>
  <si>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</si>
  <si>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</si>
  <si>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</si>
  <si>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</si>
  <si>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</si>
  <si>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</si>
  <si>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</si>
  <si>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</si>
  <si>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</si>
  <si>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</si>
  <si>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</si>
  <si>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</si>
  <si>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</si>
  <si>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</si>
  <si>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</si>
  <si>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</si>
  <si>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</si>
  <si>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</si>
  <si>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</si>
  <si>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</si>
  <si>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</si>
  <si>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</si>
  <si>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</si>
  <si>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</si>
  <si>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</si>
  <si>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</si>
  <si>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</si>
  <si>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</si>
  <si>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</si>
  <si>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</si>
  <si>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</si>
  <si>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</si>
  <si>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</si>
  <si>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</si>
  <si>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</si>
  <si>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</si>
  <si>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</si>
  <si>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</si>
  <si>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</si>
  <si>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</si>
  <si>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</si>
  <si>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</si>
  <si>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</si>
  <si>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</si>
  <si>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</si>
  <si>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</si>
  <si>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</si>
  <si>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</si>
  <si>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</si>
  <si>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</si>
  <si>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</si>
  <si>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</si>
  <si>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</si>
  <si>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</si>
  <si>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</si>
  <si>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</si>
  <si>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</si>
  <si>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</si>
  <si>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</si>
  <si>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</si>
  <si>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</si>
  <si>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</si>
  <si>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</si>
  <si>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</si>
  <si>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</si>
  <si>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</si>
  <si>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</si>
  <si>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</si>
  <si>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</si>
  <si>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</si>
  <si>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</si>
  <si>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</si>
  <si>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</si>
  <si>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</si>
  <si>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</si>
  <si>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</si>
  <si>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</si>
  <si>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</si>
  <si>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</si>
  <si>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</si>
  <si>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</si>
  <si>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</si>
  <si>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</si>
  <si>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</si>
  <si>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</si>
  <si>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</si>
  <si>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</si>
  <si>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</si>
  <si>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</si>
  <si>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</si>
  <si>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</si>
  <si>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</si>
  <si>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</si>
  <si>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</si>
  <si>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</si>
  <si>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</si>
  <si>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</si>
  <si>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</si>
  <si>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</si>
  <si>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</si>
  <si>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</si>
  <si>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</si>
  <si>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</si>
  <si>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</si>
  <si>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</si>
  <si>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</si>
  <si>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</si>
  <si>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</si>
  <si>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</si>
  <si>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</si>
  <si>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</si>
  <si>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</si>
  <si>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</si>
  <si>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</si>
  <si>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</si>
  <si>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</si>
  <si>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</si>
  <si>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</si>
  <si>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</si>
  <si>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</si>
  <si>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</si>
  <si>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</si>
  <si>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</si>
  <si>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</si>
  <si>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</si>
  <si>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</si>
  <si>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</si>
  <si>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</si>
  <si>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</si>
  <si>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</si>
  <si>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</si>
  <si>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</si>
  <si>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</si>
  <si>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</si>
  <si>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</si>
  <si>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</si>
  <si>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</si>
  <si>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</si>
  <si>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</si>
  <si>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</si>
  <si>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</si>
  <si>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</si>
  <si>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</si>
  <si>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</si>
  <si>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</si>
  <si>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</si>
  <si>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</si>
  <si>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</si>
  <si>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</si>
  <si>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</si>
  <si>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</si>
  <si>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</si>
  <si>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</si>
  <si>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</si>
  <si>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</si>
  <si>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</si>
  <si>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</si>
  <si>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</si>
  <si>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</si>
  <si>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</si>
  <si>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</si>
  <si>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</si>
  <si>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</si>
  <si>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</si>
  <si>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</si>
  <si>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</si>
  <si>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</si>
  <si>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</si>
  <si>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</si>
  <si>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</si>
  <si>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</si>
  <si>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</si>
  <si>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</si>
  <si>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</si>
  <si>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</si>
  <si>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</si>
  <si>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</si>
  <si>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</si>
  <si>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</si>
  <si>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</si>
  <si>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</si>
  <si>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</si>
  <si>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</si>
  <si>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</si>
  <si>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</si>
  <si>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</si>
  <si>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</si>
  <si>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</si>
  <si>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</si>
  <si>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</si>
  <si>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</si>
  <si>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</si>
  <si>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</si>
  <si>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</si>
  <si>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</si>
  <si>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</si>
  <si>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</si>
  <si>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</si>
  <si>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</si>
  <si>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</si>
  <si>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</si>
  <si>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</si>
  <si>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</si>
  <si>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</si>
  <si>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</si>
  <si>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</si>
  <si>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</si>
  <si>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</si>
  <si>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</si>
  <si>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</si>
  <si>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</si>
  <si>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</si>
  <si>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</si>
  <si>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</si>
  <si>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</si>
  <si>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</si>
  <si>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</si>
  <si>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</si>
  <si>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</si>
  <si>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</si>
  <si>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</si>
  <si>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</si>
  <si>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</si>
  <si>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</si>
  <si>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</si>
  <si>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</si>
  <si>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</si>
  <si>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</si>
  <si>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</si>
  <si>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</si>
  <si>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</si>
  <si>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</si>
  <si>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</si>
  <si>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</si>
  <si>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</si>
  <si>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</si>
  <si>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</si>
  <si>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</si>
  <si>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</si>
  <si>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</si>
  <si>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</si>
  <si>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</si>
  <si>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</si>
  <si>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</si>
  <si>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</si>
  <si>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</si>
  <si>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</si>
  <si>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</si>
  <si>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</si>
  <si>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</si>
  <si>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</si>
  <si>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</si>
  <si>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</si>
  <si>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</si>
  <si>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</si>
  <si>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</si>
  <si>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</si>
  <si>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</si>
  <si>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</si>
  <si>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</si>
  <si>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</si>
  <si>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</si>
  <si>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</si>
  <si>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</si>
  <si>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</si>
  <si>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</si>
  <si>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</si>
  <si>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</si>
  <si>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</si>
  <si>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</si>
  <si>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</si>
  <si>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</si>
  <si>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</si>
  <si>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</si>
  <si>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</si>
  <si>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</si>
  <si>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</si>
  <si>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</si>
  <si>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</si>
  <si>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</si>
  <si>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</si>
  <si>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</si>
  <si>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</si>
  <si>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</si>
  <si>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</si>
  <si>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</si>
  <si>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</si>
  <si>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</si>
  <si>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</si>
  <si>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</si>
  <si>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</si>
  <si>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</si>
  <si>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</si>
  <si>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</si>
  <si>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</si>
  <si>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</si>
  <si>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</si>
  <si>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</si>
  <si>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</si>
  <si>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</si>
  <si>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</si>
  <si>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</si>
  <si>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</si>
  <si>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</si>
  <si>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</si>
  <si>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</si>
  <si>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</si>
  <si>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</si>
  <si>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</si>
  <si>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</si>
  <si>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</si>
  <si>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</si>
  <si>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</si>
  <si>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</si>
  <si>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</si>
  <si>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</si>
  <si>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</si>
  <si>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</si>
  <si>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</si>
  <si>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</si>
  <si>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</si>
  <si>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</si>
  <si>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</si>
  <si>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</si>
  <si>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</si>
  <si>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</si>
  <si>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</si>
  <si>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</si>
  <si>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</si>
  <si>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</si>
  <si>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</si>
  <si>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</si>
  <si>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</si>
  <si>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</si>
  <si>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</si>
  <si>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</si>
  <si>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</si>
  <si>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</si>
  <si>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</si>
  <si>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</si>
  <si>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</si>
  <si>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</si>
  <si>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</si>
  <si>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</si>
  <si>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</si>
  <si>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</si>
  <si>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</si>
  <si>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</si>
  <si>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</si>
  <si>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</si>
  <si>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</si>
  <si>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</si>
  <si>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</si>
  <si>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</si>
  <si>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</si>
  <si>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</si>
  <si>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</si>
  <si>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</si>
  <si>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</si>
  <si>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</si>
  <si>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</si>
  <si>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</si>
  <si>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</si>
  <si>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</si>
  <si>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</si>
  <si>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</si>
  <si>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</si>
  <si>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</si>
  <si>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</si>
  <si>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</si>
  <si>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</si>
  <si>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</si>
  <si>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</si>
  <si>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</si>
  <si>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</si>
  <si>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</si>
  <si>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</si>
  <si>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</si>
  <si>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</si>
  <si>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</si>
  <si>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</si>
  <si>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</si>
  <si>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</si>
  <si>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</si>
  <si>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</si>
  <si>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</si>
  <si>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</si>
  <si>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</si>
  <si>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</si>
  <si>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</si>
  <si>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</si>
  <si>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</si>
  <si>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</si>
  <si>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</si>
  <si>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</si>
  <si>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</si>
  <si>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</si>
  <si>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</si>
  <si>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</si>
  <si>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</si>
  <si>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</si>
  <si>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</si>
  <si>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</si>
  <si>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</si>
  <si>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</si>
  <si>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</si>
  <si>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</si>
  <si>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</si>
  <si>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</si>
  <si>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</si>
  <si>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</si>
  <si>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</si>
  <si>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</si>
  <si>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</si>
  <si>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</si>
  <si>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</si>
  <si>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</si>
  <si>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</si>
  <si>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</si>
  <si>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</si>
  <si>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</si>
  <si>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</si>
  <si>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</si>
  <si>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</si>
  <si>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</si>
  <si>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</si>
  <si>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</si>
  <si>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</si>
  <si>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</si>
  <si>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</si>
  <si>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</si>
  <si>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</si>
  <si>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</si>
  <si>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</si>
  <si>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</si>
  <si>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</si>
  <si>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</si>
  <si>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</si>
  <si>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</si>
  <si>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</si>
  <si>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</si>
  <si>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</si>
  <si>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</si>
  <si>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</si>
  <si>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</si>
  <si>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</si>
  <si>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</si>
  <si>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</si>
  <si>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</si>
  <si>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</si>
  <si>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</si>
  <si>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</si>
  <si>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</si>
  <si>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</si>
  <si>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</si>
  <si>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</si>
  <si>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</si>
  <si>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</si>
  <si>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</si>
  <si>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</si>
  <si>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</si>
  <si>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</si>
  <si>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</si>
  <si>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</si>
  <si>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</si>
  <si>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</si>
  <si>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</si>
  <si>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</si>
  <si>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</si>
  <si>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</si>
  <si>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</si>
  <si>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</si>
  <si>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</si>
  <si>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</si>
  <si>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</si>
  <si>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</si>
  <si>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</si>
  <si>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</si>
  <si>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</si>
  <si>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</si>
  <si>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</si>
  <si>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</si>
  <si>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</si>
  <si>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</si>
  <si>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</si>
  <si>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</si>
  <si>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</si>
  <si>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</si>
  <si>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</si>
  <si>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</si>
  <si>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</si>
  <si>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</si>
  <si>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</si>
  <si>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</si>
  <si>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</si>
  <si>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</si>
  <si>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</si>
  <si>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</si>
  <si>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</si>
  <si>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</si>
  <si>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</si>
  <si>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</si>
  <si>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</si>
  <si>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</si>
  <si>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</si>
  <si>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</si>
  <si>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</si>
  <si>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</si>
  <si>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</si>
  <si>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</si>
  <si>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</si>
  <si>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</si>
  <si>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</si>
  <si>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</si>
  <si>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</si>
  <si>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</si>
  <si>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</si>
  <si>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</si>
  <si>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</si>
  <si>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</si>
  <si>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</si>
  <si>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</si>
  <si>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</si>
  <si>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</si>
  <si>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</si>
  <si>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</si>
  <si>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</si>
  <si>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</si>
  <si>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</si>
  <si>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</si>
  <si>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</si>
  <si>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</si>
  <si>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</si>
  <si>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</si>
  <si>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</si>
  <si>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</si>
  <si>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</si>
  <si>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</si>
  <si>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</si>
  <si>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</si>
  <si>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</si>
  <si>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</si>
  <si>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</si>
  <si>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</si>
  <si>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</si>
  <si>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</si>
  <si>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</si>
  <si>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</si>
  <si>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</si>
  <si>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</si>
  <si>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</si>
  <si>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</si>
  <si>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</si>
  <si>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</si>
  <si>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</si>
  <si>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</si>
  <si>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</si>
  <si>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</si>
  <si>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</si>
  <si>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</si>
  <si>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</si>
  <si>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</si>
  <si>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</si>
  <si>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</si>
  <si>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</si>
  <si>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</si>
  <si>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</si>
  <si>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</si>
  <si>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</si>
  <si>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</si>
  <si>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</si>
  <si>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</si>
  <si>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</si>
  <si>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</si>
  <si>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</si>
  <si>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</si>
  <si>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</si>
  <si>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</si>
  <si>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</si>
  <si>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</si>
  <si>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</si>
  <si>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</si>
  <si>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</si>
  <si>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</si>
  <si>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</si>
  <si>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</si>
  <si>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</si>
  <si>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</si>
  <si>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</si>
  <si>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</si>
  <si>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</si>
  <si>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</si>
  <si>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</si>
  <si>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</si>
  <si>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</si>
  <si>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</si>
  <si>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</si>
  <si>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</si>
  <si>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</si>
  <si>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</si>
  <si>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</si>
  <si>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</si>
  <si>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</si>
  <si>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</si>
  <si>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</si>
  <si>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</si>
  <si>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</si>
  <si>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</si>
  <si>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</si>
  <si>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</si>
  <si>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</si>
  <si>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</si>
  <si>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</si>
  <si>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</si>
  <si>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</si>
  <si>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</si>
  <si>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</si>
  <si>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</si>
  <si>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</si>
  <si>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</si>
  <si>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</si>
  <si>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</si>
  <si>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</si>
  <si>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</si>
  <si>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</si>
  <si>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</si>
  <si>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</si>
  <si>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</si>
  <si>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</si>
  <si>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</si>
  <si>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</si>
  <si>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</si>
  <si>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</si>
  <si>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</si>
  <si>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</si>
  <si>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</si>
  <si>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</si>
  <si>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</si>
  <si>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</si>
  <si>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</si>
  <si>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</si>
  <si>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</si>
  <si>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</si>
  <si>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</si>
  <si>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</si>
  <si>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</si>
  <si>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</si>
  <si>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</si>
  <si>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</si>
  <si>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</si>
  <si>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</si>
  <si>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</si>
  <si>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</si>
  <si>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</si>
  <si>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</si>
  <si>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</si>
  <si>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</si>
  <si>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</si>
  <si>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</si>
  <si>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</si>
  <si>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</si>
  <si>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</si>
  <si>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</si>
  <si>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</si>
  <si>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</si>
  <si>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</si>
  <si>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</si>
  <si>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</si>
  <si>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</si>
  <si>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</si>
  <si>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</si>
  <si>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</si>
  <si>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</si>
  <si>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</si>
  <si>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</si>
  <si>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</si>
  <si>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</si>
  <si>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</si>
  <si>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</si>
  <si>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</si>
  <si>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</si>
  <si>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</si>
  <si>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</si>
  <si>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</si>
  <si>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</si>
  <si>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</si>
  <si>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</si>
  <si>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</si>
  <si>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</si>
  <si>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</si>
  <si>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</si>
  <si>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</si>
  <si>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</si>
  <si>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</si>
  <si>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</si>
  <si>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</si>
  <si>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</si>
  <si>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</si>
  <si>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</si>
  <si>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</si>
  <si>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</si>
  <si>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</si>
  <si>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</si>
  <si>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</si>
  <si>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</si>
  <si>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</si>
  <si>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</si>
  <si>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</si>
  <si>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</si>
  <si>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</si>
  <si>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</si>
  <si>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</si>
  <si>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</si>
  <si>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</si>
  <si>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</si>
  <si>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</si>
  <si>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</si>
  <si>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</si>
  <si>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</si>
  <si>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</si>
  <si>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</si>
  <si>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</si>
  <si>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</si>
  <si>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</si>
  <si>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</si>
  <si>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</si>
  <si>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</si>
  <si>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</si>
  <si>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</si>
  <si>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</si>
  <si>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</si>
  <si>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</si>
  <si>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</si>
  <si>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</si>
  <si>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</si>
  <si>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</si>
  <si>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</si>
  <si>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</si>
  <si>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</si>
  <si>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</si>
  <si>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</si>
  <si>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</si>
  <si>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</si>
  <si>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</si>
  <si>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</si>
  <si>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</si>
  <si>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</si>
  <si>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</si>
  <si>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</si>
  <si>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</si>
  <si>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</si>
  <si>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</si>
  <si>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</si>
  <si>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</si>
  <si>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</si>
  <si>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</si>
  <si>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</si>
  <si>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</si>
  <si>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</si>
  <si>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</si>
  <si>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</si>
  <si>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</si>
  <si>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</si>
  <si>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</si>
  <si>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</si>
  <si>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</si>
  <si>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</si>
  <si>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</si>
  <si>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</si>
  <si>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</si>
  <si>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</si>
  <si>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</si>
  <si>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</si>
  <si>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</si>
  <si>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</si>
  <si>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</si>
  <si>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</si>
  <si>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</si>
  <si>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</si>
  <si>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</si>
  <si>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</si>
  <si>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</si>
  <si>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</si>
  <si>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</si>
  <si>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</si>
  <si>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</si>
  <si>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</si>
  <si>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</si>
  <si>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</si>
  <si>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</si>
  <si>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</si>
  <si>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</si>
  <si>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</si>
  <si>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</si>
  <si>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</si>
  <si>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</si>
  <si>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</si>
  <si>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</si>
  <si>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</si>
  <si>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</si>
  <si>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</si>
  <si>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</si>
  <si>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</si>
  <si>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</si>
  <si>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</si>
  <si>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</si>
  <si>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</si>
  <si>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</si>
  <si>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</si>
  <si>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</si>
  <si>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</si>
  <si>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</si>
  <si>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</si>
  <si>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</si>
  <si>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</si>
  <si>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</si>
  <si>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</si>
  <si>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</si>
  <si>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</si>
  <si>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</si>
  <si>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</si>
  <si>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</si>
  <si>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</si>
  <si>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</si>
  <si>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</si>
  <si>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</si>
  <si>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</si>
  <si>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</si>
  <si>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</si>
  <si>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</si>
  <si>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</si>
  <si>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</si>
  <si>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</si>
  <si>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</si>
  <si>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</si>
  <si>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</si>
  <si>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</si>
  <si>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</si>
  <si>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</si>
  <si>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</si>
  <si>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</si>
  <si>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</si>
  <si>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</si>
  <si>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</si>
  <si>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</si>
  <si>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</si>
  <si>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</si>
  <si>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</si>
  <si>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</si>
  <si>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</si>
  <si>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</si>
  <si>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</si>
  <si>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</si>
  <si>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</si>
  <si>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</si>
  <si>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</si>
  <si>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</si>
  <si>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</si>
  <si>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</si>
  <si>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</si>
  <si>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</si>
  <si>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</si>
  <si>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</si>
  <si>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</si>
  <si>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</si>
  <si>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</si>
  <si>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</si>
  <si>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</si>
  <si>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</si>
  <si>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</si>
  <si>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</si>
  <si>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</si>
  <si>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</si>
  <si>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</si>
  <si>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</si>
  <si>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</si>
  <si>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</si>
  <si>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</si>
  <si>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</si>
  <si>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</si>
  <si>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</si>
  <si>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</si>
  <si>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</si>
  <si>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</si>
  <si>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</si>
  <si>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</si>
  <si>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</si>
  <si>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</si>
  <si>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</si>
  <si>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</si>
  <si>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</si>
  <si>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</si>
  <si>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</si>
  <si>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</si>
  <si>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</si>
  <si>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</si>
  <si>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</si>
  <si>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</si>
  <si>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</si>
  <si>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</si>
  <si>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</si>
  <si>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</si>
  <si>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</si>
  <si>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</si>
  <si>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</si>
  <si>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</si>
  <si>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</si>
  <si>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</si>
  <si>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</si>
  <si>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</si>
  <si>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</si>
  <si>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</si>
  <si>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</si>
  <si>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</si>
  <si>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</si>
  <si>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</si>
  <si>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</si>
  <si>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</si>
  <si>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</si>
  <si>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</si>
  <si>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</si>
  <si>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</si>
  <si>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</si>
  <si>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</si>
  <si>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</si>
  <si>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</si>
  <si>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</si>
  <si>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</si>
  <si>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</si>
  <si>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</si>
  <si>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</si>
  <si>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</si>
  <si>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</si>
  <si>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</si>
  <si>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</si>
  <si>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</si>
  <si>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</si>
  <si>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</si>
  <si>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</si>
  <si>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</si>
  <si>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</si>
  <si>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</si>
  <si>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</si>
  <si>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</si>
  <si>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</si>
  <si>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</si>
  <si>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</si>
  <si>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</si>
  <si>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</si>
  <si>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</si>
  <si>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</si>
  <si>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</si>
  <si>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</si>
  <si>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</si>
  <si>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</si>
  <si>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</si>
  <si>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</si>
  <si>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</si>
  <si>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</si>
  <si>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</si>
  <si>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</si>
  <si>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</si>
  <si>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</si>
  <si>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</si>
  <si>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</si>
  <si>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</si>
  <si>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</si>
  <si>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</si>
  <si>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</si>
  <si>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</si>
  <si>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</si>
  <si>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</si>
  <si>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</si>
  <si>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</si>
  <si>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</si>
  <si>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</si>
  <si>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</si>
  <si>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</si>
  <si>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</si>
  <si>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</si>
  <si>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</si>
  <si>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</si>
  <si>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</si>
  <si>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</si>
  <si>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</si>
  <si>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</si>
  <si>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</si>
  <si>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</si>
  <si>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</si>
  <si>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</si>
  <si>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</si>
  <si>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</si>
  <si>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</si>
  <si>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</si>
  <si>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</si>
  <si>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</si>
  <si>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</si>
  <si>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</si>
  <si>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</si>
  <si>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</si>
  <si>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</si>
  <si>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</si>
  <si>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</si>
  <si>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</si>
  <si>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</si>
  <si>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</si>
  <si>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</si>
  <si>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</si>
  <si>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</si>
  <si>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</si>
  <si>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</si>
  <si>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</si>
  <si>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</si>
  <si>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</si>
  <si>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</si>
  <si>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</si>
  <si>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</si>
  <si>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</si>
  <si>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</si>
  <si>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</si>
  <si>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</si>
  <si>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</si>
  <si>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</si>
  <si>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</si>
  <si>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</si>
  <si>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</si>
  <si>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</si>
  <si>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</si>
  <si>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</si>
  <si>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</si>
  <si>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</si>
  <si>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</si>
  <si>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</si>
  <si>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</si>
  <si>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</si>
  <si>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</si>
  <si>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</si>
  <si>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</si>
  <si>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</si>
  <si>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</si>
  <si>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</si>
  <si>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</si>
  <si>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</si>
  <si>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</si>
  <si>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</si>
  <si>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</si>
  <si>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</si>
  <si>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</si>
  <si>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</si>
  <si>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</si>
  <si>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</si>
  <si>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</si>
  <si>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</si>
  <si>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</si>
  <si>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</si>
  <si>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</si>
  <si>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</si>
  <si>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</si>
  <si>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</si>
  <si>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</si>
  <si>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</si>
  <si>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</si>
  <si>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</si>
  <si>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</si>
  <si>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</si>
  <si>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</si>
  <si>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</si>
  <si>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</si>
  <si>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</si>
  <si>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</si>
  <si>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</si>
  <si>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</si>
  <si>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</si>
  <si>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</si>
  <si>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</si>
  <si>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</si>
  <si>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</si>
  <si>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</si>
  <si>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</si>
  <si>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</si>
  <si>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</si>
  <si>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</si>
  <si>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</si>
  <si>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</si>
  <si>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</si>
  <si>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</si>
  <si>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</si>
  <si>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</si>
  <si>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</si>
  <si>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</si>
  <si>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</si>
  <si>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</si>
  <si>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</si>
  <si>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</si>
  <si>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</si>
  <si>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</si>
  <si>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</si>
  <si>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</si>
  <si>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</si>
  <si>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</si>
  <si>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</si>
  <si>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</si>
  <si>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</si>
  <si>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</si>
  <si>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</si>
  <si>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</si>
  <si>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</si>
  <si>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</si>
  <si>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</si>
  <si>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</si>
  <si>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</si>
  <si>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</si>
  <si>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</si>
  <si>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</si>
  <si>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</si>
  <si>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</si>
  <si>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</si>
  <si>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</si>
  <si>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</si>
  <si>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</si>
  <si>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</si>
  <si>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</si>
  <si>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</si>
  <si>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</si>
  <si>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</si>
  <si>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</si>
  <si>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</si>
  <si>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</si>
  <si>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</si>
  <si>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</si>
  <si>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</si>
  <si>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</si>
  <si>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</si>
  <si>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</si>
  <si>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</si>
  <si>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</si>
  <si>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</si>
  <si>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</si>
  <si>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</si>
  <si>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</si>
  <si>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</si>
  <si>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</si>
  <si>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</si>
  <si>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</si>
  <si>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</si>
  <si>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</si>
  <si>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</si>
  <si>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</si>
  <si>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</si>
  <si>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</si>
  <si>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</si>
  <si>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</si>
  <si>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</si>
  <si>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</si>
  <si>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</si>
  <si>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</si>
  <si>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</si>
  <si>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</si>
  <si>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</si>
  <si>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</si>
  <si>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</si>
  <si>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</si>
  <si>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</si>
  <si>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</si>
  <si>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</si>
  <si>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</si>
  <si>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</si>
  <si>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</si>
  <si>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</si>
  <si>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</si>
  <si>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</si>
  <si>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</si>
  <si>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</si>
  <si>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</si>
  <si>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</si>
  <si>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</si>
  <si>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</si>
  <si>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</si>
  <si>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</si>
  <si>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</si>
  <si>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</si>
  <si>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</si>
  <si>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</si>
  <si>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</si>
  <si>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</si>
  <si>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</si>
  <si>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</si>
  <si>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</si>
  <si>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</si>
  <si>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</si>
  <si>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</si>
  <si>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</si>
  <si>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</si>
  <si>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</si>
  <si>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</si>
  <si>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</si>
  <si>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</si>
  <si>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</si>
  <si>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</si>
  <si>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</si>
  <si>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</si>
  <si>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</si>
  <si>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</si>
  <si>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</si>
  <si>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</si>
  <si>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</si>
  <si>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</si>
  <si>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</si>
  <si>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</si>
  <si>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</si>
  <si>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</si>
  <si>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</si>
  <si>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</si>
  <si>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</si>
  <si>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</si>
  <si>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</si>
  <si>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</si>
  <si>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</si>
  <si>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</si>
  <si>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</si>
  <si>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</si>
  <si>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</si>
  <si>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</si>
  <si>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</si>
  <si>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</si>
  <si>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</si>
  <si>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</si>
  <si>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</si>
  <si>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</si>
  <si>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</si>
  <si>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</si>
  <si>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</si>
  <si>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</si>
  <si>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</si>
  <si>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</si>
  <si>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</si>
  <si>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</si>
  <si>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</si>
  <si>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</si>
  <si>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</si>
  <si>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</si>
  <si>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</si>
  <si>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</si>
  <si>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</si>
  <si>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</si>
  <si>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</si>
  <si>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</si>
  <si>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</si>
  <si>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</si>
  <si>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</si>
  <si>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</si>
  <si>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</si>
  <si>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</si>
  <si>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</si>
  <si>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</si>
  <si>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</si>
  <si>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</si>
  <si>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</si>
  <si>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</si>
  <si>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</si>
  <si>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</si>
  <si>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</si>
  <si>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</si>
  <si>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</si>
  <si>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</si>
  <si>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</si>
  <si>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</si>
  <si>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</si>
  <si>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</si>
  <si>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</si>
  <si>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</si>
  <si>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</si>
  <si>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</si>
  <si>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</si>
  <si>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</si>
  <si>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</si>
  <si>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</si>
  <si>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</si>
  <si>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</si>
  <si>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</si>
  <si>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</si>
  <si>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</si>
  <si>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</si>
  <si>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</si>
  <si>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</si>
  <si>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</si>
  <si>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</si>
  <si>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</si>
  <si>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</si>
  <si>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</si>
  <si>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</si>
  <si>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</si>
  <si>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</si>
  <si>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</si>
  <si>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</si>
  <si>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</si>
  <si>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</si>
  <si>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</si>
  <si>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</si>
  <si>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</si>
  <si>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</si>
  <si>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</si>
  <si>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</si>
  <si>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</si>
  <si>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</si>
  <si>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</si>
  <si>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</si>
  <si>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</si>
  <si>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</si>
  <si>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</si>
  <si>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</si>
  <si>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</si>
  <si>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</si>
  <si>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</si>
  <si>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</si>
  <si>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</si>
  <si>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</si>
  <si>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</si>
  <si>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</si>
  <si>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</si>
  <si>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</si>
  <si>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</si>
  <si>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</si>
  <si>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</si>
  <si>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</si>
  <si>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</si>
  <si>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</si>
  <si>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</si>
  <si>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</si>
  <si>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</si>
  <si>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</si>
  <si>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</si>
  <si>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</si>
  <si>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</si>
  <si>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</si>
  <si>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</si>
  <si>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</si>
  <si>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</si>
  <si>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</si>
  <si>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</si>
  <si>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</si>
  <si>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</si>
  <si>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</si>
  <si>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</si>
  <si>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</si>
  <si>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</si>
  <si>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</si>
  <si>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</si>
  <si>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</si>
  <si>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</si>
  <si>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</si>
  <si>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</si>
  <si>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</si>
  <si>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</si>
  <si>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</si>
  <si>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</si>
  <si>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</si>
  <si>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</si>
  <si>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</si>
  <si>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</si>
  <si>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</si>
  <si>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</si>
  <si>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</si>
  <si>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</si>
  <si>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</si>
  <si>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</si>
  <si>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</si>
  <si>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</si>
  <si>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</si>
  <si>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</si>
  <si>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</si>
  <si>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</si>
  <si>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</si>
  <si>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</si>
  <si>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</si>
  <si>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</si>
  <si>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</si>
  <si>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</si>
  <si>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</si>
  <si>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</si>
  <si>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</si>
  <si>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</si>
  <si>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</si>
  <si>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</si>
  <si>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</si>
  <si>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</si>
  <si>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</si>
  <si>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</si>
  <si>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</si>
  <si>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</si>
  <si>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</si>
  <si>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</si>
  <si>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</si>
  <si>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</si>
  <si>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</si>
  <si>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</si>
  <si>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</si>
  <si>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</si>
  <si>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</si>
  <si>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</si>
  <si>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</si>
  <si>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</si>
  <si>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</si>
  <si>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</si>
  <si>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</si>
  <si>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</si>
  <si>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</si>
  <si>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</si>
  <si>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</si>
  <si>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</si>
  <si>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</si>
  <si>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</si>
  <si>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</si>
  <si>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</si>
  <si>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</si>
  <si>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</si>
  <si>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</si>
  <si>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</si>
  <si>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</si>
  <si>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</si>
  <si>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</si>
  <si>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</si>
  <si>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</si>
  <si>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</si>
  <si>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</si>
  <si>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</si>
  <si>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</si>
  <si>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</si>
  <si>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</si>
  <si>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</si>
  <si>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</si>
  <si>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</si>
  <si>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</si>
  <si>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</si>
  <si>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</si>
  <si>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</si>
  <si>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</si>
  <si>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</si>
  <si>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</si>
  <si>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</si>
  <si>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</si>
  <si>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</si>
  <si>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</si>
  <si>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</si>
  <si>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</si>
  <si>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</si>
  <si>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</si>
  <si>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</si>
  <si>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</si>
  <si>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</si>
  <si>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</si>
  <si>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</si>
  <si>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</si>
  <si>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</si>
  <si>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</si>
  <si>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</si>
  <si>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</si>
  <si>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</si>
  <si>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</si>
  <si>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</si>
  <si>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</si>
  <si>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</si>
  <si>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</si>
  <si>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</si>
  <si>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</si>
  <si>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</si>
  <si>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</si>
  <si>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</si>
  <si>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</si>
  <si>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</si>
  <si>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</si>
  <si>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</si>
  <si>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</si>
  <si>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</si>
  <si>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</si>
  <si>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</si>
  <si>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</si>
  <si>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</si>
  <si>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</si>
  <si>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</si>
  <si>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</si>
  <si>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</si>
  <si>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</si>
  <si>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</si>
  <si>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</si>
  <si>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</si>
  <si>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</si>
  <si>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</si>
  <si>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</si>
  <si>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</si>
  <si>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</si>
  <si>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</si>
  <si>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</si>
  <si>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</si>
  <si>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</si>
  <si>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</si>
  <si>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</si>
  <si>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</si>
  <si>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</si>
  <si>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</si>
  <si>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</si>
  <si>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</si>
  <si>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</si>
  <si>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</si>
  <si>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</si>
  <si>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</si>
  <si>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</si>
  <si>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</si>
  <si>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</si>
  <si>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</si>
  <si>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</si>
  <si>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</si>
  <si>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</si>
  <si>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</si>
  <si>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</si>
  <si>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</si>
  <si>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</si>
  <si>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</si>
  <si>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</si>
  <si>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</si>
  <si>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</si>
  <si>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</si>
  <si>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</si>
  <si>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</si>
  <si>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</si>
  <si>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</si>
  <si>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</si>
  <si>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</si>
  <si>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</si>
  <si>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</si>
  <si>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</si>
  <si>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</si>
  <si>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</si>
  <si>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</si>
  <si>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</si>
  <si>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</si>
  <si>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</si>
  <si>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</si>
  <si>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</si>
  <si>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</si>
  <si>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</si>
  <si>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</si>
  <si>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</si>
  <si>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</si>
  <si>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</si>
  <si>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</si>
  <si>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</si>
  <si>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</si>
  <si>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</si>
  <si>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</si>
  <si>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</si>
  <si>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</si>
  <si>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</si>
  <si>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</si>
  <si>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</si>
  <si>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</si>
  <si>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</si>
  <si>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</si>
  <si>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</si>
  <si>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</si>
  <si>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</si>
  <si>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</si>
  <si>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</si>
  <si>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</si>
  <si>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</si>
  <si>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</si>
  <si>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</si>
  <si>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</si>
  <si>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</si>
  <si>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</si>
  <si>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</si>
  <si>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</si>
  <si>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</si>
  <si>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</si>
  <si>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</si>
  <si>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</si>
  <si>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</si>
  <si>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</si>
  <si>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</si>
  <si>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</si>
  <si>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</si>
  <si>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</si>
  <si>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</si>
  <si>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</si>
  <si>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</si>
  <si>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</si>
  <si>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</si>
  <si>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</si>
  <si>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</si>
  <si>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</si>
  <si>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</si>
  <si>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</si>
  <si>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</si>
  <si>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</si>
  <si>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</si>
  <si>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</si>
  <si>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</si>
  <si>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</si>
  <si>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</si>
  <si>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</si>
  <si>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</si>
  <si>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</si>
  <si>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</si>
  <si>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</si>
  <si>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</si>
  <si>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</si>
  <si>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</si>
  <si>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</si>
  <si>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</si>
  <si>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</si>
  <si>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</si>
  <si>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</si>
  <si>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</si>
  <si>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</si>
  <si>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</si>
  <si>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</si>
  <si>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</si>
  <si>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</si>
  <si>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</si>
  <si>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</si>
  <si>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</si>
  <si>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</si>
  <si>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</si>
  <si>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</si>
  <si>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</si>
  <si>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</si>
  <si>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</si>
  <si>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</si>
  <si>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</si>
  <si>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</si>
  <si>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</si>
  <si>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</si>
  <si>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</si>
  <si>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</si>
  <si>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</si>
  <si>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</si>
  <si>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</si>
  <si>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</si>
  <si>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</si>
  <si>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</si>
  <si>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</si>
  <si>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</si>
  <si>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</si>
  <si>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</si>
  <si>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</si>
  <si>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</si>
  <si>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</si>
  <si>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</si>
  <si>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</si>
  <si>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</si>
  <si>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</si>
  <si>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</si>
  <si>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</si>
  <si>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</si>
  <si>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</si>
  <si>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</si>
  <si>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</si>
  <si>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</si>
  <si>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</si>
  <si>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</si>
  <si>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</si>
  <si>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</si>
  <si>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</si>
  <si>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</si>
  <si>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</si>
  <si>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</si>
  <si>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</si>
  <si>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</si>
  <si>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</si>
  <si>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</si>
  <si>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</si>
  <si>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</si>
  <si>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</si>
  <si>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</si>
  <si>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</si>
  <si>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</si>
  <si>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</si>
  <si>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</si>
  <si>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</si>
  <si>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</si>
  <si>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</si>
  <si>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</si>
  <si>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</si>
  <si>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</si>
  <si>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</si>
  <si>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</si>
  <si>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</si>
  <si>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</si>
  <si>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</si>
  <si>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</si>
  <si>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</si>
  <si>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</si>
  <si>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</si>
  <si>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</si>
  <si>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</si>
  <si>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</si>
  <si>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</si>
  <si>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</si>
  <si>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</si>
  <si>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</si>
  <si>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</si>
  <si>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</si>
  <si>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</si>
  <si>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</si>
  <si>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</si>
  <si>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</si>
  <si>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</si>
  <si>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</si>
  <si>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</si>
  <si>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</si>
  <si>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</si>
  <si>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</si>
  <si>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</si>
  <si>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</si>
  <si>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</si>
  <si>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</si>
  <si>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</si>
  <si>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</si>
  <si>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</si>
  <si>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</si>
  <si>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</si>
  <si>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</si>
  <si>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</si>
  <si>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</si>
  <si>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</si>
  <si>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</si>
  <si>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</si>
  <si>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</si>
  <si>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</si>
  <si>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</si>
  <si>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</si>
  <si>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</si>
  <si>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</si>
  <si>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</si>
  <si>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</si>
  <si>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</si>
  <si>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</si>
  <si>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</si>
  <si>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</si>
  <si>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</si>
  <si>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</si>
  <si>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</si>
  <si>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</si>
  <si>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</si>
  <si>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</si>
  <si>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</si>
  <si>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</si>
  <si>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</si>
  <si>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</si>
  <si>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</si>
  <si>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</si>
  <si>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</si>
  <si>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</si>
  <si>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</si>
  <si>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</si>
  <si>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</si>
  <si>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</si>
  <si>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</si>
  <si>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</si>
  <si>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</si>
  <si>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</si>
  <si>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</si>
  <si>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</si>
  <si>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</si>
  <si>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</si>
  <si>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</si>
  <si>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</si>
  <si>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</si>
  <si>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</si>
  <si>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</si>
  <si>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</si>
  <si>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</si>
  <si>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</si>
  <si>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</si>
  <si>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</si>
  <si>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</si>
  <si>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</si>
  <si>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</si>
  <si>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</si>
  <si>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</si>
  <si>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</si>
  <si>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</si>
  <si>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</si>
  <si>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</si>
  <si>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</si>
  <si>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</si>
  <si>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</si>
  <si>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</si>
  <si>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</si>
  <si>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</si>
  <si>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</si>
  <si>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</si>
  <si>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</si>
  <si>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</si>
  <si>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</si>
  <si>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</si>
  <si>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</si>
  <si>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</si>
  <si>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</si>
  <si>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</si>
  <si>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</si>
  <si>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</si>
  <si>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</si>
  <si>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</si>
  <si>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</si>
  <si>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</si>
  <si>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</si>
  <si>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</si>
  <si>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</si>
  <si>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</si>
  <si>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</si>
  <si>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</si>
  <si>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</si>
  <si>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</si>
  <si>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</si>
  <si>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</si>
  <si>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</si>
  <si>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</si>
  <si>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</si>
  <si>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</si>
  <si>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</si>
  <si>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</si>
  <si>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</si>
  <si>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</si>
  <si>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</si>
  <si>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</si>
  <si>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</si>
  <si>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</si>
  <si>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</si>
  <si>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</si>
  <si>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</si>
  <si>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</si>
  <si>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</si>
  <si>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</si>
  <si>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</si>
  <si>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</si>
  <si>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</si>
  <si>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</si>
  <si>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</si>
  <si>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</si>
  <si>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</si>
  <si>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</si>
  <si>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</si>
  <si>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</si>
  <si>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</si>
  <si>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</si>
  <si>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</si>
  <si>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</si>
  <si>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</si>
  <si>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</si>
  <si>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</si>
  <si>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</si>
  <si>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</si>
  <si>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</si>
  <si>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</si>
  <si>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</si>
  <si>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</si>
  <si>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</si>
  <si>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</si>
  <si>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</si>
  <si>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</si>
  <si>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</si>
  <si>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</si>
  <si>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</si>
  <si>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</si>
  <si>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</si>
  <si>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</si>
  <si>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</si>
  <si>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</si>
  <si>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</si>
  <si>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</si>
  <si>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</si>
  <si>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</si>
  <si>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</si>
  <si>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</si>
  <si>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</si>
  <si>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</si>
  <si>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</si>
  <si>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</si>
  <si>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</si>
  <si>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</si>
  <si>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</si>
  <si>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</si>
  <si>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</si>
  <si>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</si>
  <si>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</si>
  <si>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</si>
  <si>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</si>
  <si>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</si>
  <si>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</si>
  <si>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</si>
  <si>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</si>
  <si>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</si>
  <si>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</si>
  <si>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</si>
  <si>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</si>
  <si>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</si>
  <si>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</si>
  <si>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</si>
  <si>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</si>
  <si>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</si>
  <si>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</si>
  <si>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</si>
  <si>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</si>
  <si>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</si>
  <si>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</si>
  <si>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</si>
  <si>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</si>
  <si>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</si>
  <si>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</si>
  <si>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</si>
  <si>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</si>
  <si>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</si>
  <si>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</si>
  <si>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</si>
  <si>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</si>
  <si>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</si>
  <si>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</si>
  <si>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</si>
  <si>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</si>
  <si>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</si>
  <si>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</si>
  <si>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</si>
  <si>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</si>
  <si>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</si>
  <si>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</si>
  <si>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</si>
  <si>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</si>
  <si>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</si>
  <si>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</si>
  <si>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</si>
  <si>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</si>
  <si>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</si>
  <si>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</si>
  <si>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</si>
  <si>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</si>
  <si>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</si>
  <si>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</si>
  <si>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</si>
  <si>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</si>
  <si>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</si>
  <si>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</si>
  <si>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</si>
  <si>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</si>
  <si>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</si>
  <si>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</si>
  <si>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</si>
  <si>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</si>
  <si>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</si>
  <si>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</si>
  <si>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</si>
  <si>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</si>
  <si>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</si>
  <si>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</si>
  <si>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</si>
  <si>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</si>
  <si>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</si>
  <si>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</si>
  <si>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</si>
  <si>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</si>
  <si>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</si>
  <si>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</si>
  <si>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</si>
  <si>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</si>
  <si>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</si>
  <si>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</si>
  <si>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</si>
  <si>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</si>
  <si>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</si>
  <si>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</si>
  <si>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</si>
  <si>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</si>
  <si>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</si>
  <si>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</si>
  <si>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</si>
  <si>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</si>
  <si>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</si>
  <si>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</si>
  <si>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</si>
  <si>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</si>
  <si>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</si>
  <si>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</si>
  <si>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</si>
  <si>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</si>
  <si>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</si>
  <si>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</si>
  <si>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</si>
  <si>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</si>
  <si>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</si>
  <si>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</si>
  <si>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</si>
  <si>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</si>
  <si>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</si>
  <si>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</si>
  <si>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</si>
  <si>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</si>
  <si>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</si>
  <si>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</si>
  <si>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</si>
  <si>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</si>
  <si>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</si>
  <si>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</si>
  <si>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</si>
  <si>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</si>
  <si>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</si>
  <si>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</si>
  <si>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</si>
  <si>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</si>
  <si>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</si>
  <si>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</si>
  <si>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</si>
  <si>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</si>
  <si>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</si>
  <si>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</si>
  <si>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</si>
  <si>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</si>
  <si>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</si>
  <si>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</si>
  <si>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</si>
  <si>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</si>
  <si>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</si>
  <si>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</si>
  <si>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</si>
  <si>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</si>
  <si>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</si>
  <si>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</si>
  <si>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</si>
  <si>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</si>
  <si>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</si>
  <si>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</si>
  <si>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</si>
  <si>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</si>
  <si>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</si>
  <si>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</si>
  <si>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</si>
  <si>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</si>
  <si>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</si>
  <si>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</si>
  <si>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</si>
  <si>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</si>
  <si>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</si>
  <si>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</si>
  <si>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</si>
  <si>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</si>
  <si>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</si>
  <si>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</si>
  <si>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</si>
  <si>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</si>
  <si>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</si>
  <si>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</si>
  <si>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</si>
  <si>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</si>
  <si>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</si>
  <si>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</si>
  <si>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</si>
  <si>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</si>
  <si>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</si>
  <si>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</si>
  <si>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</si>
  <si>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</si>
  <si>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</si>
  <si>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</si>
  <si>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</si>
  <si>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</si>
  <si>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</si>
  <si>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</si>
  <si>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</si>
  <si>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</si>
  <si>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</si>
  <si>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</si>
  <si>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</si>
  <si>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</si>
  <si>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</si>
  <si>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</si>
  <si>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</si>
  <si>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</si>
  <si>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</si>
  <si>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</si>
  <si>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</si>
  <si>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</si>
  <si>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</si>
  <si>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</si>
  <si>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</si>
  <si>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</si>
  <si>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</si>
  <si>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</si>
  <si>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</si>
  <si>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</si>
  <si>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</si>
  <si>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</si>
  <si>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</si>
  <si>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</si>
  <si>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</si>
  <si>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</si>
  <si>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</si>
  <si>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</si>
  <si>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</si>
  <si>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</si>
  <si>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</si>
  <si>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</si>
  <si>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</si>
  <si>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</si>
  <si>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</si>
  <si>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</si>
  <si>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</si>
  <si>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</si>
  <si>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</si>
  <si>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</si>
  <si>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</si>
  <si>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</si>
  <si>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</si>
  <si>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</si>
  <si>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</si>
  <si>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</si>
  <si>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</si>
  <si>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</si>
  <si>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</si>
  <si>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</si>
  <si>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</si>
  <si>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</si>
  <si>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</si>
  <si>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</si>
  <si>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</si>
  <si>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</si>
  <si>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</si>
  <si>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</si>
  <si>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</si>
  <si>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</si>
  <si>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</si>
  <si>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</si>
  <si>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</si>
  <si>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</si>
  <si>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</si>
  <si>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</si>
  <si>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</si>
  <si>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</si>
  <si>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</si>
  <si>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</si>
  <si>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</si>
  <si>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</si>
  <si>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</si>
  <si>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</si>
  <si>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</si>
  <si>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</si>
  <si>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</si>
  <si>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</si>
  <si>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</si>
  <si>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</si>
  <si>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</si>
  <si>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</si>
  <si>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</si>
  <si>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</si>
  <si>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</si>
  <si>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</si>
  <si>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</si>
  <si>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</si>
  <si>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</si>
  <si>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</si>
  <si>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</si>
  <si>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</si>
  <si>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</si>
  <si>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</si>
  <si>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</si>
  <si>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</si>
  <si>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</si>
  <si>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</si>
  <si>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</si>
  <si>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</si>
  <si>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</si>
  <si>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</si>
  <si>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</si>
  <si>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</si>
  <si>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</si>
  <si>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</si>
  <si>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</si>
  <si>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</si>
  <si>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</si>
  <si>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</si>
  <si>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</si>
  <si>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</si>
  <si>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</si>
  <si>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</si>
  <si>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</si>
  <si>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</si>
  <si>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吴薇</t>
  </si>
  <si>
    <t>刘梅</t>
  </si>
  <si>
    <t>天津合雨晨置业有限公司</t>
    <phoneticPr fontId="6" type="noConversion"/>
  </si>
  <si>
    <t>天津合雨晨置业有限公司</t>
    <phoneticPr fontId="6" type="noConversion"/>
  </si>
  <si>
    <t>抵押</t>
  </si>
  <si>
    <t>抵押价格</t>
  </si>
  <si>
    <t>其他：</t>
  </si>
  <si>
    <t>天津市</t>
    <phoneticPr fontId="6" type="noConversion"/>
  </si>
  <si>
    <t>北辰区北辰道与朝阳路交口</t>
    <phoneticPr fontId="6" type="noConversion"/>
  </si>
  <si>
    <t>企业</t>
  </si>
  <si>
    <t>城镇住宅</t>
    <phoneticPr fontId="6" type="noConversion"/>
  </si>
  <si>
    <t>《天津市房地产权证》[津2017北辰区不动产权第1012383号]</t>
    <phoneticPr fontId="6" type="noConversion"/>
  </si>
  <si>
    <t>住宅、商业、地下车库</t>
    <phoneticPr fontId="6" type="noConversion"/>
  </si>
  <si>
    <t>不一致</t>
  </si>
  <si>
    <t>出让</t>
  </si>
  <si>
    <t>符合</t>
  </si>
  <si>
    <t>商业</t>
  </si>
  <si>
    <t>住宅68.4年、商业38.4年、地下车库48.4年</t>
    <phoneticPr fontId="6" type="noConversion"/>
  </si>
  <si>
    <t>《天津市国有建设用地使用权出让合同》[电子监管号：1201012016B02066号]及附件、《建设工程规划许可证》[2017北辰住证0010、0014号]</t>
    <phoneticPr fontId="6" type="noConversion"/>
  </si>
  <si>
    <t>否</t>
  </si>
  <si>
    <t>居住项目</t>
  </si>
  <si>
    <t>无</t>
  </si>
  <si>
    <t>宗地内已开工建设</t>
  </si>
  <si>
    <t>通路</t>
  </si>
  <si>
    <t>通电</t>
  </si>
  <si>
    <t>通讯</t>
  </si>
  <si>
    <t>通上水</t>
  </si>
  <si>
    <t>通下水</t>
  </si>
  <si>
    <t>通热</t>
  </si>
  <si>
    <t>燃气</t>
  </si>
  <si>
    <t>序列</t>
    <phoneticPr fontId="233" type="noConversion"/>
  </si>
  <si>
    <t>分期</t>
    <phoneticPr fontId="233" type="noConversion"/>
  </si>
  <si>
    <t>产品类型</t>
    <phoneticPr fontId="233" type="noConversion"/>
  </si>
  <si>
    <t>房号</t>
    <phoneticPr fontId="233" type="noConversion"/>
  </si>
  <si>
    <t>面积</t>
    <phoneticPr fontId="233" type="noConversion"/>
  </si>
  <si>
    <t>合同额</t>
    <phoneticPr fontId="233" type="noConversion"/>
  </si>
  <si>
    <t>一期</t>
    <phoneticPr fontId="233" type="noConversion"/>
  </si>
  <si>
    <t>高层</t>
    <phoneticPr fontId="233" type="noConversion"/>
  </si>
  <si>
    <t>5-1-804</t>
  </si>
  <si>
    <t>一期</t>
    <phoneticPr fontId="233" type="noConversion"/>
  </si>
  <si>
    <t>5-1-1402</t>
  </si>
  <si>
    <t>5-1-2604</t>
  </si>
  <si>
    <t>5-1-503</t>
  </si>
  <si>
    <t>5-1-2404</t>
  </si>
  <si>
    <t>5-1-304</t>
  </si>
  <si>
    <t>5-1-2704</t>
  </si>
  <si>
    <t>5-1-2502</t>
  </si>
  <si>
    <t>5-1-2302</t>
  </si>
  <si>
    <t>5-1-401</t>
  </si>
  <si>
    <t>5-1-2002</t>
  </si>
  <si>
    <t>5-1-2202</t>
  </si>
  <si>
    <t>5-1-1302</t>
  </si>
  <si>
    <t>5-1-604</t>
  </si>
  <si>
    <t>5-1-2303</t>
  </si>
  <si>
    <t>5-1-2104</t>
  </si>
  <si>
    <t>5-1-2701</t>
  </si>
  <si>
    <t>5-1-2603</t>
  </si>
  <si>
    <t>5-1-2004</t>
  </si>
  <si>
    <t>5-1-101</t>
  </si>
  <si>
    <t>5-1-2101</t>
  </si>
  <si>
    <t>5-1-1901</t>
  </si>
  <si>
    <t>5-1-702</t>
  </si>
  <si>
    <t>5-1-1604</t>
  </si>
  <si>
    <t>5-1-1204</t>
  </si>
  <si>
    <t>5-1-104</t>
  </si>
  <si>
    <t>5-1-2601</t>
  </si>
  <si>
    <t>5-1-1601</t>
  </si>
  <si>
    <t>5-1-902</t>
  </si>
  <si>
    <t>5-1-1701</t>
  </si>
  <si>
    <t>5-1-2001</t>
  </si>
  <si>
    <t>5-1-1502</t>
  </si>
  <si>
    <t>5-1-601</t>
  </si>
  <si>
    <t>5-1-904</t>
  </si>
  <si>
    <t>5-1-603</t>
  </si>
  <si>
    <t>5-1-1003</t>
  </si>
  <si>
    <t>5-1-2003</t>
  </si>
  <si>
    <t>一期</t>
    <phoneticPr fontId="233" type="noConversion"/>
  </si>
  <si>
    <t>高层</t>
    <phoneticPr fontId="233" type="noConversion"/>
  </si>
  <si>
    <t>5-1-802</t>
  </si>
  <si>
    <t>5-1-301</t>
  </si>
  <si>
    <t>5-1-903</t>
  </si>
  <si>
    <t>5-1-1001</t>
  </si>
  <si>
    <t>5-1-103</t>
  </si>
  <si>
    <t>5-1-1702</t>
  </si>
  <si>
    <t>5-1-501</t>
  </si>
  <si>
    <t>5-1-1202</t>
  </si>
  <si>
    <t>5-1-901</t>
  </si>
  <si>
    <t>5-1-2204</t>
  </si>
  <si>
    <t>5-1-2201</t>
  </si>
  <si>
    <t>5-1-803</t>
  </si>
  <si>
    <t>5-1-801</t>
  </si>
  <si>
    <t>5-1-1101</t>
  </si>
  <si>
    <t>5-1-1203</t>
  </si>
  <si>
    <t>5-1-1501</t>
  </si>
  <si>
    <t>5-1-701</t>
  </si>
  <si>
    <t>5-1-1002</t>
  </si>
  <si>
    <t>5-1-1301</t>
  </si>
  <si>
    <t>5-1-1104</t>
  </si>
  <si>
    <t>5-1-1703</t>
  </si>
  <si>
    <t>5-1-704</t>
  </si>
  <si>
    <t>5-1-1704</t>
  </si>
  <si>
    <t>5-1-2301</t>
  </si>
  <si>
    <t>5-1-1602</t>
  </si>
  <si>
    <t>5-1-1004</t>
  </si>
  <si>
    <t>5-1-2501</t>
  </si>
  <si>
    <t>5-1-1904</t>
  </si>
  <si>
    <t>5-1-602</t>
  </si>
  <si>
    <t>5-1-202</t>
  </si>
  <si>
    <t>5-1-303</t>
  </si>
  <si>
    <t>5-1-2702</t>
  </si>
  <si>
    <t>5-1-2803</t>
  </si>
  <si>
    <t>5-1-2802</t>
  </si>
  <si>
    <t>5-1-404</t>
  </si>
  <si>
    <t>5-1-2504</t>
  </si>
  <si>
    <t>5-1-102</t>
  </si>
  <si>
    <t>5-1-2403</t>
  </si>
  <si>
    <t>5-1-1303</t>
  </si>
  <si>
    <t>5-1-2602</t>
  </si>
  <si>
    <t>5-1-2703</t>
  </si>
  <si>
    <t>5-1-2801</t>
  </si>
  <si>
    <t>5-1-2304</t>
  </si>
  <si>
    <t>5-1-1503</t>
  </si>
  <si>
    <t>5-1-1403</t>
  </si>
  <si>
    <t>5-1-1404</t>
  </si>
  <si>
    <t>5-1-1802</t>
  </si>
  <si>
    <t>5-1-1504</t>
  </si>
  <si>
    <t>5-1-2103</t>
  </si>
  <si>
    <t>5-1-1102</t>
  </si>
  <si>
    <t>5-1-2402</t>
  </si>
  <si>
    <t>5-1-2804</t>
  </si>
  <si>
    <t>5-1-1803</t>
  </si>
  <si>
    <t>5-1-201</t>
  </si>
  <si>
    <t>5-1-2102</t>
  </si>
  <si>
    <t>5-1-402</t>
  </si>
  <si>
    <t>5-1-2401</t>
  </si>
  <si>
    <t>5-1-502</t>
  </si>
  <si>
    <t>5-1-1401</t>
  </si>
  <si>
    <t>5-1-1103</t>
  </si>
  <si>
    <t>5-1-2503</t>
  </si>
  <si>
    <t>9-1-1402</t>
  </si>
  <si>
    <t>9-1-1201</t>
  </si>
  <si>
    <t>9-1-1601</t>
  </si>
  <si>
    <t>9-1-1001</t>
  </si>
  <si>
    <t>9-1-1101</t>
  </si>
  <si>
    <t>9-1-801</t>
  </si>
  <si>
    <t>9-1-1301</t>
  </si>
  <si>
    <t>9-1-702</t>
  </si>
  <si>
    <t>9-1-1002</t>
  </si>
  <si>
    <t>9-1-1204</t>
  </si>
  <si>
    <t>9-1-304</t>
  </si>
  <si>
    <t>9-1-1503</t>
  </si>
  <si>
    <t>9-1-2703</t>
  </si>
  <si>
    <t>9-1-1302</t>
  </si>
  <si>
    <t>9-1-603</t>
  </si>
  <si>
    <t>9-1-501</t>
  </si>
  <si>
    <t>9-1-1504</t>
  </si>
  <si>
    <t>9-1-2301</t>
  </si>
  <si>
    <t>9-1-1603</t>
  </si>
  <si>
    <t>9-1-1902</t>
  </si>
  <si>
    <t>9-1-2002</t>
  </si>
  <si>
    <t>9-1-602</t>
  </si>
  <si>
    <t>9-1-703</t>
  </si>
  <si>
    <t>9-1-2403</t>
  </si>
  <si>
    <t>9-1-2702</t>
  </si>
  <si>
    <t>9-1-1502</t>
  </si>
  <si>
    <t>9-1-1704</t>
  </si>
  <si>
    <t>9-1-1304</t>
  </si>
  <si>
    <t>9-1-2502</t>
  </si>
  <si>
    <t>9-1-1404</t>
  </si>
  <si>
    <t>9-1-2303</t>
  </si>
  <si>
    <t>9-1-1103</t>
  </si>
  <si>
    <t>9-1-1903</t>
  </si>
  <si>
    <t>9-1-1703</t>
  </si>
  <si>
    <t>9-1-2603</t>
  </si>
  <si>
    <t>9-1-502</t>
  </si>
  <si>
    <t>9-1-2401</t>
  </si>
  <si>
    <t>9-1-2003</t>
  </si>
  <si>
    <t>9-1-2602</t>
  </si>
  <si>
    <t>9-1-2701</t>
  </si>
  <si>
    <t>9-1-2203</t>
  </si>
  <si>
    <t>9-1-2504</t>
  </si>
  <si>
    <t>9-1-402</t>
  </si>
  <si>
    <t>9-1-1004</t>
  </si>
  <si>
    <t>9-1-401</t>
  </si>
  <si>
    <t>9-1-902</t>
  </si>
  <si>
    <t>9-1-404</t>
  </si>
  <si>
    <t>9-1-1202</t>
  </si>
  <si>
    <t>9-1-1802</t>
  </si>
  <si>
    <t>9-1-2102</t>
  </si>
  <si>
    <t>9-1-1801</t>
  </si>
  <si>
    <t>9-1-601</t>
  </si>
  <si>
    <t>9-1-2104</t>
  </si>
  <si>
    <t>9-1-2704</t>
  </si>
  <si>
    <t>9-1-2601</t>
  </si>
  <si>
    <t>9-1-503</t>
  </si>
  <si>
    <t>9-1-1401</t>
  </si>
  <si>
    <t>9-1-1702</t>
  </si>
  <si>
    <t>9-1-1102</t>
  </si>
  <si>
    <t>9-1-803</t>
  </si>
  <si>
    <t>9-1-1701</t>
  </si>
  <si>
    <t>9-1-1602</t>
  </si>
  <si>
    <t>9-1-1104</t>
  </si>
  <si>
    <t>9-1-2501</t>
  </si>
  <si>
    <t>9-1-1901</t>
  </si>
  <si>
    <t>9-1-903</t>
  </si>
  <si>
    <t>9-1-1604</t>
  </si>
  <si>
    <t>9-1-2503</t>
  </si>
  <si>
    <t>9-1-2101</t>
  </si>
  <si>
    <t>9-1-1003</t>
  </si>
  <si>
    <t>9-1-2302</t>
  </si>
  <si>
    <t>9-1-701</t>
  </si>
  <si>
    <t>9-1-1501</t>
  </si>
  <si>
    <t>9-1-802</t>
  </si>
  <si>
    <t>9-1-2001</t>
  </si>
  <si>
    <t>9-1-2201</t>
  </si>
  <si>
    <t>9-1-1203</t>
  </si>
  <si>
    <t>9-1-904</t>
  </si>
  <si>
    <t>9-1-504</t>
  </si>
  <si>
    <t>9-1-2202</t>
  </si>
  <si>
    <t>9-1-301</t>
  </si>
  <si>
    <t>9-1-2604</t>
  </si>
  <si>
    <t>5-1-1304</t>
  </si>
  <si>
    <t>9-1-1904</t>
  </si>
  <si>
    <t>9-1-704</t>
  </si>
  <si>
    <t>9-1-804</t>
  </si>
  <si>
    <t>9-1-1403</t>
  </si>
  <si>
    <t>5-1-1603</t>
  </si>
  <si>
    <t>9-1-2204</t>
  </si>
  <si>
    <t>9-1-2304</t>
  </si>
  <si>
    <t>9-1-1804</t>
  </si>
  <si>
    <t>9-1-2404</t>
  </si>
  <si>
    <t>5-1-2902</t>
  </si>
  <si>
    <t>9-1-2803</t>
  </si>
  <si>
    <t>9-1-2802</t>
  </si>
  <si>
    <t>5-1-2904</t>
  </si>
  <si>
    <t>9-1-403</t>
  </si>
  <si>
    <t>5-1-1201</t>
  </si>
  <si>
    <t>5-1-2203</t>
  </si>
  <si>
    <t>9-1-1803</t>
  </si>
  <si>
    <t>5-1-504</t>
  </si>
  <si>
    <t>9-1-604</t>
  </si>
  <si>
    <t>5-1-204</t>
  </si>
  <si>
    <t>5-1-703</t>
  </si>
  <si>
    <t>5-1-2903</t>
  </si>
  <si>
    <t>9-1-1303</t>
  </si>
  <si>
    <t>5-1-1804</t>
  </si>
  <si>
    <t>9-1-901</t>
  </si>
  <si>
    <t>9-1-2801</t>
  </si>
  <si>
    <t>9-1-2004</t>
  </si>
  <si>
    <t>9-1-2103</t>
  </si>
  <si>
    <t>5-1-203</t>
  </si>
  <si>
    <t>9-1-302</t>
  </si>
  <si>
    <t>5-1-302</t>
  </si>
  <si>
    <t>9-1-2804</t>
  </si>
  <si>
    <t>5-1-2901</t>
  </si>
  <si>
    <t>9-1-2402</t>
  </si>
  <si>
    <t>1-1-2703</t>
  </si>
  <si>
    <t>1-1-1603</t>
  </si>
  <si>
    <t>1-1-604</t>
  </si>
  <si>
    <t>1-1-2202</t>
  </si>
  <si>
    <t>1-1-903</t>
  </si>
  <si>
    <t>1-1-601</t>
  </si>
  <si>
    <t>1-1-2004</t>
  </si>
  <si>
    <t>1-1-1902</t>
  </si>
  <si>
    <t>1-1-902</t>
  </si>
  <si>
    <t>1-1-1004</t>
  </si>
  <si>
    <t>1-1-2601</t>
  </si>
  <si>
    <t>1-1-1701</t>
  </si>
  <si>
    <t>1-1-901</t>
  </si>
  <si>
    <t>1-1-1904</t>
  </si>
  <si>
    <t>1-1-1201</t>
  </si>
  <si>
    <t>1-1-1503</t>
  </si>
  <si>
    <t>1-1-1003</t>
  </si>
  <si>
    <t>1-1-1203</t>
  </si>
  <si>
    <t>1-1-702</t>
  </si>
  <si>
    <t>1-1-1602</t>
  </si>
  <si>
    <t>1-1-1501</t>
  </si>
  <si>
    <t>1-1-1002</t>
  </si>
  <si>
    <t>1-1-904</t>
  </si>
  <si>
    <t>1-1-1302</t>
  </si>
  <si>
    <t>1-1-802</t>
  </si>
  <si>
    <t>1-1-602</t>
  </si>
  <si>
    <t>1-1-403</t>
  </si>
  <si>
    <t>1-1-603</t>
  </si>
  <si>
    <t>1-1-704</t>
  </si>
  <si>
    <t>1-1-504</t>
  </si>
  <si>
    <t>1-1-1704</t>
  </si>
  <si>
    <t>1-1-1604</t>
  </si>
  <si>
    <t>1-1-502</t>
  </si>
  <si>
    <t>1-1-1102</t>
  </si>
  <si>
    <t>1-1-1901</t>
  </si>
  <si>
    <t>1-1-2303</t>
  </si>
  <si>
    <t>1-1-803</t>
  </si>
  <si>
    <t>1-1-703</t>
  </si>
  <si>
    <t>1-1-402</t>
  </si>
  <si>
    <t>1-1-2302</t>
  </si>
  <si>
    <t>1-1-501</t>
  </si>
  <si>
    <t>1-1-1703</t>
  </si>
  <si>
    <t>1-1-1104</t>
  </si>
  <si>
    <t>1-1-1903</t>
  </si>
  <si>
    <t>1-1-2204</t>
  </si>
  <si>
    <t>1-1-2103</t>
  </si>
  <si>
    <t>1-1-2503</t>
  </si>
  <si>
    <t>1-1-2203</t>
  </si>
  <si>
    <t>4-1-1703</t>
  </si>
  <si>
    <t>4-1-1601</t>
  </si>
  <si>
    <t>4-1-1902</t>
  </si>
  <si>
    <t>4-1-2002</t>
  </si>
  <si>
    <t>4-1-1701</t>
  </si>
  <si>
    <t>4-1-1602</t>
  </si>
  <si>
    <t>4-1-502</t>
  </si>
  <si>
    <t>4-1-901</t>
  </si>
  <si>
    <t>4-1-603</t>
  </si>
  <si>
    <t>4-1-601</t>
  </si>
  <si>
    <t>4-1-2102</t>
  </si>
  <si>
    <t>4-1-103</t>
  </si>
  <si>
    <t>4-1-1504</t>
  </si>
  <si>
    <t>4-1-1904</t>
  </si>
  <si>
    <t>4-1-1704</t>
  </si>
  <si>
    <t>4-1-303</t>
  </si>
  <si>
    <t>4-1-1001</t>
  </si>
  <si>
    <t>4-1-1002</t>
  </si>
  <si>
    <t>4-1-1202</t>
  </si>
  <si>
    <t>4-1-801</t>
  </si>
  <si>
    <t>4-1-701</t>
  </si>
  <si>
    <t>4-1-2101</t>
  </si>
  <si>
    <t>4-1-1102</t>
  </si>
  <si>
    <t>4-1-102</t>
  </si>
  <si>
    <t>4-1-1401</t>
  </si>
  <si>
    <t>4-1-2003</t>
  </si>
  <si>
    <t>4-1-902</t>
  </si>
  <si>
    <t>4-1-703</t>
  </si>
  <si>
    <t>4-1-1604</t>
  </si>
  <si>
    <t>4-1-503</t>
  </si>
  <si>
    <t>4-1-1901</t>
  </si>
  <si>
    <t>4-1-904</t>
  </si>
  <si>
    <t>4-1-903</t>
  </si>
  <si>
    <t>4-1-704</t>
  </si>
  <si>
    <t>4-1-1501</t>
  </si>
  <si>
    <t>4-1-1603</t>
  </si>
  <si>
    <t>4-1-1301</t>
  </si>
  <si>
    <t>4-1-1201</t>
  </si>
  <si>
    <t>4-1-1503</t>
  </si>
  <si>
    <t>4-1-1502</t>
  </si>
  <si>
    <t>4-1-1101</t>
  </si>
  <si>
    <t>4-1-2201</t>
  </si>
  <si>
    <t>4-1-1003</t>
  </si>
  <si>
    <t>4-1-702</t>
  </si>
  <si>
    <t>4-1-2701</t>
  </si>
  <si>
    <t>4-1-1103</t>
  </si>
  <si>
    <t>4-1-2301</t>
  </si>
  <si>
    <t>4-1-1203</t>
  </si>
  <si>
    <t>4-1-101</t>
  </si>
  <si>
    <t>4-1-302</t>
  </si>
  <si>
    <t>4-1-501</t>
  </si>
  <si>
    <t>4-1-1104</t>
  </si>
  <si>
    <t>4-1-2004</t>
  </si>
  <si>
    <t>7-1-604</t>
  </si>
  <si>
    <t>7-1-703</t>
  </si>
  <si>
    <t>7-1-901</t>
  </si>
  <si>
    <t>7-1-1104</t>
  </si>
  <si>
    <t>7-1-1201</t>
  </si>
  <si>
    <t>7-1-1904</t>
  </si>
  <si>
    <t>7-1-2002</t>
  </si>
  <si>
    <t>7-1-1101</t>
  </si>
  <si>
    <t>7-1-1601</t>
  </si>
  <si>
    <t>7-1-1701</t>
  </si>
  <si>
    <t>7-1-2102</t>
  </si>
  <si>
    <t>7-1-2001</t>
  </si>
  <si>
    <t>7-1-1403</t>
  </si>
  <si>
    <t>7-1-1501</t>
  </si>
  <si>
    <t>7-1-301</t>
  </si>
  <si>
    <t>7-1-903</t>
  </si>
  <si>
    <t>7-1-1301</t>
  </si>
  <si>
    <t>7-1-1103</t>
  </si>
  <si>
    <t>7-1-1303</t>
  </si>
  <si>
    <t>7-1-803</t>
  </si>
  <si>
    <t>7-1-2202</t>
  </si>
  <si>
    <t>7-1-1503</t>
  </si>
  <si>
    <t>7-1-902</t>
  </si>
  <si>
    <t>7-1-2103</t>
  </si>
  <si>
    <t>7-1-1901</t>
  </si>
  <si>
    <t>7-1-2203</t>
  </si>
  <si>
    <t>7-1-1003</t>
  </si>
  <si>
    <t>7-1-1804</t>
  </si>
  <si>
    <t>7-1-701</t>
  </si>
  <si>
    <t>7-1-1002</t>
  </si>
  <si>
    <t>7-1-1603</t>
  </si>
  <si>
    <t>7-1-802</t>
  </si>
  <si>
    <t>7-1-702</t>
  </si>
  <si>
    <t>7-1-1602</t>
  </si>
  <si>
    <t>7-1-904</t>
  </si>
  <si>
    <t>7-1-1703</t>
  </si>
  <si>
    <t>7-1-1202</t>
  </si>
  <si>
    <t>7-1-1004</t>
  </si>
  <si>
    <t>7-1-2201</t>
  </si>
  <si>
    <t>7-1-801</t>
  </si>
  <si>
    <t>7-1-1502</t>
  </si>
  <si>
    <t>7-1-1102</t>
  </si>
  <si>
    <t>7-1-1203</t>
  </si>
  <si>
    <t>7-1-501</t>
  </si>
  <si>
    <t>7-1-1204</t>
  </si>
  <si>
    <t>7-1-1604</t>
  </si>
  <si>
    <t>7-1-2301</t>
  </si>
  <si>
    <t>7-1-2302</t>
  </si>
  <si>
    <t>8-1-2101</t>
  </si>
  <si>
    <t>8-1-2201</t>
  </si>
  <si>
    <t>8-1-1903</t>
  </si>
  <si>
    <t>8-1-1703</t>
  </si>
  <si>
    <t>8-1-2204</t>
  </si>
  <si>
    <t>8-1-2103</t>
  </si>
  <si>
    <t>8-1-903</t>
  </si>
  <si>
    <t>8-1-803</t>
  </si>
  <si>
    <t>8-1-2601</t>
  </si>
  <si>
    <t>8-1-2502</t>
  </si>
  <si>
    <t>8-1-1603</t>
  </si>
  <si>
    <t>8-1-1904</t>
  </si>
  <si>
    <t>8-1-2304</t>
  </si>
  <si>
    <t>8-1-2002</t>
  </si>
  <si>
    <t>8-1-802</t>
  </si>
  <si>
    <t>8-1-2303</t>
  </si>
  <si>
    <t>8-1-1704</t>
  </si>
  <si>
    <t>8-1-2302</t>
  </si>
  <si>
    <t>8-1-2603</t>
  </si>
  <si>
    <t>8-1-1701</t>
  </si>
  <si>
    <t>8-1-2104</t>
  </si>
  <si>
    <t>8-1-2503</t>
  </si>
  <si>
    <t>8-1-2501</t>
  </si>
  <si>
    <t>8-1-1902</t>
  </si>
  <si>
    <t>8-1-2003</t>
  </si>
  <si>
    <t>8-1-1602</t>
  </si>
  <si>
    <t>8-1-2602</t>
  </si>
  <si>
    <t>8-1-1003</t>
  </si>
  <si>
    <t>8-1-1202</t>
  </si>
  <si>
    <t>8-1-1002</t>
  </si>
  <si>
    <t>8-1-1503</t>
  </si>
  <si>
    <t>8-1-2001</t>
  </si>
  <si>
    <t>8-1-1502</t>
  </si>
  <si>
    <t>8-1-2202</t>
  </si>
  <si>
    <t>8-1-602</t>
  </si>
  <si>
    <t>8-1-703</t>
  </si>
  <si>
    <t>8-1-1103</t>
  </si>
  <si>
    <t>8-1-1102</t>
  </si>
  <si>
    <t>8-1-1004</t>
  </si>
  <si>
    <t>8-1-1203</t>
  </si>
  <si>
    <t>8-1-1504</t>
  </si>
  <si>
    <t>8-1-1204</t>
  </si>
  <si>
    <t>8-1-2703</t>
  </si>
  <si>
    <t>4-1-804</t>
  </si>
  <si>
    <t>7-1-503</t>
  </si>
  <si>
    <t>1-1-1502</t>
  </si>
  <si>
    <t>4-1-1004</t>
  </si>
  <si>
    <t>4-1-2803</t>
  </si>
  <si>
    <t>1-1-2403</t>
  </si>
  <si>
    <t>4-1-2204</t>
  </si>
  <si>
    <t>7-1-1402</t>
  </si>
  <si>
    <t>1-1-2603</t>
  </si>
  <si>
    <t>4-1-401</t>
  </si>
  <si>
    <t>4-1-602</t>
  </si>
  <si>
    <t>8-1-1304</t>
  </si>
  <si>
    <t>1-1-2102</t>
  </si>
  <si>
    <t>1-1-1402</t>
  </si>
  <si>
    <t>4-1-2203</t>
  </si>
  <si>
    <t>8-1-901</t>
  </si>
  <si>
    <t>8-1-1302</t>
  </si>
  <si>
    <t>8-1-1303</t>
  </si>
  <si>
    <t>1-1-1403</t>
  </si>
  <si>
    <t>8-1-2403</t>
  </si>
  <si>
    <t>7-1-704</t>
  </si>
  <si>
    <t>4-1-2103</t>
  </si>
  <si>
    <t>4-1-1302</t>
  </si>
  <si>
    <t>8-1-1702</t>
  </si>
  <si>
    <t>7-1-2004</t>
  </si>
  <si>
    <t>8-1-2402</t>
  </si>
  <si>
    <t>8-1-1001</t>
  </si>
  <si>
    <t>7-1-403</t>
  </si>
  <si>
    <t>7-1-1803</t>
  </si>
  <si>
    <t>7-1-1704</t>
  </si>
  <si>
    <t>4-1-2602</t>
  </si>
  <si>
    <t>4-1-202</t>
  </si>
  <si>
    <t>4-1-2702</t>
  </si>
  <si>
    <t>8-1-2803</t>
  </si>
  <si>
    <t>8-1-2702</t>
  </si>
  <si>
    <t>8-1-402</t>
  </si>
  <si>
    <t>4-1-2603</t>
  </si>
  <si>
    <t>7-1-302</t>
  </si>
  <si>
    <t>4-1-2501</t>
  </si>
  <si>
    <t>4-1-2503</t>
  </si>
  <si>
    <t>4-1-2104</t>
  </si>
  <si>
    <t>1-1-1101</t>
  </si>
  <si>
    <t>4-1-2304</t>
  </si>
  <si>
    <t>4-1-404</t>
  </si>
  <si>
    <t>8-1-1201</t>
  </si>
  <si>
    <t>4-1-1402</t>
  </si>
  <si>
    <t>4-1-2402</t>
  </si>
  <si>
    <t>4-1-304</t>
  </si>
  <si>
    <t>4-1-301</t>
  </si>
  <si>
    <t>4-1-2404</t>
  </si>
  <si>
    <t>8-1-701</t>
  </si>
  <si>
    <t>8-1-604</t>
  </si>
  <si>
    <t>7-1-1802</t>
  </si>
  <si>
    <t>4-1-1403</t>
  </si>
  <si>
    <t>1-1-2602</t>
  </si>
  <si>
    <t>4-1-1702</t>
  </si>
  <si>
    <t>8-1-403</t>
  </si>
  <si>
    <t>8-1-502</t>
  </si>
  <si>
    <t>8-1-503</t>
  </si>
  <si>
    <t>1-1-2502</t>
  </si>
  <si>
    <t>1-1-304</t>
  </si>
  <si>
    <t>7-1-2104</t>
  </si>
  <si>
    <t>8-1-1301</t>
  </si>
  <si>
    <t>8-1-801</t>
  </si>
  <si>
    <t>1-1-1702</t>
  </si>
  <si>
    <t>1-1-404</t>
  </si>
  <si>
    <t>1-1-2201</t>
  </si>
  <si>
    <t>7-1-402</t>
  </si>
  <si>
    <t>1-1-1803</t>
  </si>
  <si>
    <t>1-1-301</t>
  </si>
  <si>
    <t>1-1-2304</t>
  </si>
  <si>
    <t>1-1-2404</t>
  </si>
  <si>
    <t>8-1-1803</t>
  </si>
  <si>
    <t>7-1-602</t>
  </si>
  <si>
    <t>8-1-603</t>
  </si>
  <si>
    <t>4-1-1802</t>
  </si>
  <si>
    <t>1-1-2402</t>
  </si>
  <si>
    <t>7-1-603</t>
  </si>
  <si>
    <t>4-1-402</t>
  </si>
  <si>
    <t>4-1-2202</t>
  </si>
  <si>
    <t>1-1-2003</t>
  </si>
  <si>
    <t>1-1-2301</t>
  </si>
  <si>
    <t>4-1-1404</t>
  </si>
  <si>
    <t>1-1-1301</t>
  </si>
  <si>
    <t>8-1-2604</t>
  </si>
  <si>
    <t>8-1-1501</t>
  </si>
  <si>
    <t>1-1-2802</t>
  </si>
  <si>
    <t>1-1-1802</t>
  </si>
  <si>
    <t>4-1-2903</t>
  </si>
  <si>
    <t>8-1-902</t>
  </si>
  <si>
    <t>4-1-104</t>
  </si>
  <si>
    <t>8-1-2504</t>
  </si>
  <si>
    <t>1-1-2501</t>
  </si>
  <si>
    <t>1-1-2401</t>
  </si>
  <si>
    <t>8-1-1403</t>
  </si>
  <si>
    <t>8-1-904</t>
  </si>
  <si>
    <t>8-1-2802</t>
  </si>
  <si>
    <t>4-1-2802</t>
  </si>
  <si>
    <t>1-1-1304</t>
  </si>
  <si>
    <t>4-1-204</t>
  </si>
  <si>
    <t>7-1-1404</t>
  </si>
  <si>
    <t>4-1-2601</t>
  </si>
  <si>
    <t>1-1-1204</t>
  </si>
  <si>
    <t>4-1-803</t>
  </si>
  <si>
    <t>1-1-1303</t>
  </si>
  <si>
    <t>7-1-1504</t>
  </si>
  <si>
    <t>4-1-2502</t>
  </si>
  <si>
    <t>4-1-1803</t>
  </si>
  <si>
    <t>7-1-1903</t>
  </si>
  <si>
    <t>8-1-1104</t>
  </si>
  <si>
    <t>8-1-702</t>
  </si>
  <si>
    <t>1-1-2702</t>
  </si>
  <si>
    <t>4-1-2401</t>
  </si>
  <si>
    <t>1-1-2002</t>
  </si>
  <si>
    <t>7-1-2402</t>
  </si>
  <si>
    <t>8-1-2004</t>
  </si>
  <si>
    <t>4-1-2703</t>
  </si>
  <si>
    <t>4-1-403</t>
  </si>
  <si>
    <t>4-1-1204</t>
  </si>
  <si>
    <t>7-1-804</t>
  </si>
  <si>
    <t>4-1-2704</t>
  </si>
  <si>
    <t>4-1-2801</t>
  </si>
  <si>
    <t>1-1-1103</t>
  </si>
  <si>
    <t>8-1-1101</t>
  </si>
  <si>
    <t>8-1-804</t>
  </si>
  <si>
    <t>1-1-804</t>
  </si>
  <si>
    <t>8-1-1802</t>
  </si>
  <si>
    <t>7-1-2003</t>
  </si>
  <si>
    <t>4-1-1304</t>
  </si>
  <si>
    <t>7-1-2403</t>
  </si>
  <si>
    <t>4-1-2303</t>
  </si>
  <si>
    <t>4-1-604</t>
  </si>
  <si>
    <t>4-1-1804</t>
  </si>
  <si>
    <t>8-1-2704</t>
  </si>
  <si>
    <t>1-1-1401</t>
  </si>
  <si>
    <t>4-1-2902</t>
  </si>
  <si>
    <t>4-1-1303</t>
  </si>
  <si>
    <t>1-1-302</t>
  </si>
  <si>
    <t>8-1-2404</t>
  </si>
  <si>
    <t>4-1-2403</t>
  </si>
  <si>
    <t>4-1-203</t>
  </si>
  <si>
    <t>7-1-303</t>
  </si>
  <si>
    <t>4-1-2302</t>
  </si>
  <si>
    <t>4-1-504</t>
  </si>
  <si>
    <t>1-1-1504</t>
  </si>
  <si>
    <t>7-1-502</t>
  </si>
  <si>
    <t>8-1-1604</t>
  </si>
  <si>
    <t>一期</t>
    <phoneticPr fontId="233" type="noConversion"/>
  </si>
  <si>
    <t>高层</t>
    <phoneticPr fontId="233" type="noConversion"/>
  </si>
  <si>
    <t>7-1-404</t>
  </si>
  <si>
    <t>7-1-2304</t>
  </si>
  <si>
    <t>8-1-2203</t>
  </si>
  <si>
    <t>8-1-1402</t>
  </si>
  <si>
    <t>1-1-2504</t>
  </si>
  <si>
    <t>7-1-2101</t>
  </si>
  <si>
    <t>8-1-2401</t>
  </si>
  <si>
    <t>7-1-2303</t>
  </si>
  <si>
    <t>8-1-401</t>
  </si>
  <si>
    <t>1-1-2001</t>
  </si>
  <si>
    <t>1-1-2803</t>
  </si>
  <si>
    <t>8-1-501</t>
  </si>
  <si>
    <t>8-1-304</t>
  </si>
  <si>
    <t>8-1-302</t>
  </si>
  <si>
    <t>1-1-2701</t>
  </si>
  <si>
    <t>7-1-1801</t>
  </si>
  <si>
    <t>7-1-601</t>
  </si>
  <si>
    <t>7-1-2204</t>
  </si>
  <si>
    <t>1-1-1601</t>
  </si>
  <si>
    <t>8-1-1804</t>
  </si>
  <si>
    <t>1-1-1202</t>
  </si>
  <si>
    <t>7-1-1302</t>
  </si>
  <si>
    <t>5-1-1801</t>
  </si>
  <si>
    <t>8-1-301</t>
  </si>
  <si>
    <t>5-1-403</t>
  </si>
  <si>
    <t>1-1-303</t>
  </si>
  <si>
    <t>8-1-2801</t>
  </si>
  <si>
    <t>8-1-2804</t>
  </si>
  <si>
    <t>1-1-1804</t>
  </si>
  <si>
    <t>7-1-304</t>
  </si>
  <si>
    <t>4-1-201</t>
  </si>
  <si>
    <t>1-1-1404</t>
  </si>
  <si>
    <t>7-1-2401</t>
  </si>
  <si>
    <t>7-1-1304</t>
  </si>
  <si>
    <t>1-1-2101</t>
  </si>
  <si>
    <t>5-1-1903</t>
  </si>
  <si>
    <t>1-1-801</t>
  </si>
  <si>
    <t>8-1-704</t>
  </si>
  <si>
    <t>5-1-1902</t>
  </si>
  <si>
    <t>1-1-2604</t>
  </si>
  <si>
    <t>9-1-303</t>
  </si>
  <si>
    <t>8-1-1601</t>
  </si>
  <si>
    <t>4-1-802</t>
  </si>
  <si>
    <t>1-1-2804</t>
  </si>
  <si>
    <t>8-1-303</t>
  </si>
  <si>
    <t>1-1-2801</t>
  </si>
  <si>
    <t>1-1-2104</t>
  </si>
  <si>
    <t>小高层</t>
    <phoneticPr fontId="233" type="noConversion"/>
  </si>
  <si>
    <t>2-2-802</t>
  </si>
  <si>
    <t>2-2-1401</t>
  </si>
  <si>
    <t>2-2-1202</t>
  </si>
  <si>
    <t>6-1-801</t>
  </si>
  <si>
    <t>3-2-502</t>
  </si>
  <si>
    <t>6-1-602</t>
  </si>
  <si>
    <t>小高层</t>
    <phoneticPr fontId="233" type="noConversion"/>
  </si>
  <si>
    <t>3-1-802</t>
  </si>
  <si>
    <t>6-1-1501</t>
  </si>
  <si>
    <t>3-2-401</t>
  </si>
  <si>
    <t>6-2-602</t>
  </si>
  <si>
    <t>3-1-1402</t>
  </si>
  <si>
    <t>6-1-601</t>
  </si>
  <si>
    <t>3-1-1201</t>
  </si>
  <si>
    <t>3-1-202</t>
  </si>
  <si>
    <t>3-1-902</t>
  </si>
  <si>
    <t>2-2-602</t>
  </si>
  <si>
    <t>2-1-1201</t>
  </si>
  <si>
    <t>2-1-1302</t>
  </si>
  <si>
    <t>3-1-1302</t>
  </si>
  <si>
    <t>6-2-501</t>
  </si>
  <si>
    <t>2-1-1202</t>
  </si>
  <si>
    <t>2-2-902</t>
  </si>
  <si>
    <t>6-2-1201</t>
  </si>
  <si>
    <t>6-2-502</t>
  </si>
  <si>
    <t>6-2-802</t>
  </si>
  <si>
    <t>3-1-501</t>
  </si>
  <si>
    <t>小高层</t>
    <phoneticPr fontId="233" type="noConversion"/>
  </si>
  <si>
    <t>2-2-1002</t>
  </si>
  <si>
    <t>6-2-1101</t>
  </si>
  <si>
    <t>6-2-702</t>
  </si>
  <si>
    <t>3-1-1002</t>
  </si>
  <si>
    <t>2-2-1001</t>
  </si>
  <si>
    <t>6-2-1001</t>
  </si>
  <si>
    <t>6-2-1502</t>
  </si>
  <si>
    <t>2-1-701</t>
  </si>
  <si>
    <t>6-1-1402</t>
  </si>
  <si>
    <t>2-2-501</t>
  </si>
  <si>
    <t>3-2-901</t>
  </si>
  <si>
    <t>3-2-1302</t>
  </si>
  <si>
    <t>6-1-1302</t>
  </si>
  <si>
    <t>2-2-702</t>
  </si>
  <si>
    <t>2-1-501</t>
  </si>
  <si>
    <t>2-1-1001</t>
  </si>
  <si>
    <t>6-2-201</t>
  </si>
  <si>
    <t>3-1-1502</t>
  </si>
  <si>
    <t>2-1-301</t>
  </si>
  <si>
    <t>2-1-401</t>
  </si>
  <si>
    <t>2-1-1402</t>
  </si>
  <si>
    <t>6-1-1102</t>
  </si>
  <si>
    <t>3-2-1501</t>
  </si>
  <si>
    <t>6-1-1002</t>
  </si>
  <si>
    <t>3-2-702</t>
  </si>
  <si>
    <t>2-2-801</t>
  </si>
  <si>
    <t>2-2-1402</t>
  </si>
  <si>
    <t>3-1-1301</t>
  </si>
  <si>
    <t>2-2-1102</t>
  </si>
  <si>
    <t>6-2-301</t>
  </si>
  <si>
    <t>2-2-401</t>
  </si>
  <si>
    <t>3-2-602</t>
  </si>
  <si>
    <t>2-1-901</t>
  </si>
  <si>
    <t>6-2-302</t>
  </si>
  <si>
    <t>6-2-102</t>
  </si>
  <si>
    <t>6-1-1502</t>
  </si>
  <si>
    <t>2-2-1302</t>
  </si>
  <si>
    <t>6-1-301</t>
  </si>
  <si>
    <t>2-1-602</t>
  </si>
  <si>
    <t>3-1-601</t>
  </si>
  <si>
    <t>2-2-302</t>
  </si>
  <si>
    <t>6-2-1002</t>
  </si>
  <si>
    <t>6-1-1401</t>
  </si>
  <si>
    <t>3-2-1402</t>
  </si>
  <si>
    <t>2-2-402</t>
  </si>
  <si>
    <t>2-1-1002</t>
  </si>
  <si>
    <t>3-1-1001</t>
  </si>
  <si>
    <t>3-2-1201</t>
  </si>
  <si>
    <t>2-1-801</t>
  </si>
  <si>
    <t>2-1-1301</t>
  </si>
  <si>
    <t>6-1-302</t>
  </si>
  <si>
    <t>6-1-102</t>
  </si>
  <si>
    <t>6-2-1202</t>
  </si>
  <si>
    <t>2-2-901</t>
  </si>
  <si>
    <t>6-1-1201</t>
  </si>
  <si>
    <t>2-1-302</t>
  </si>
  <si>
    <t>2-2-301</t>
  </si>
  <si>
    <t>6-1-802</t>
  </si>
  <si>
    <t>3-1-102</t>
  </si>
  <si>
    <t>6-2-1402</t>
  </si>
  <si>
    <t>3-1-1401</t>
  </si>
  <si>
    <t>2-1-1401</t>
  </si>
  <si>
    <t>6-1-502</t>
  </si>
  <si>
    <t>3-1-602</t>
  </si>
  <si>
    <t>2-2-1101</t>
  </si>
  <si>
    <t>6-2-601</t>
  </si>
  <si>
    <t>6-2-1102</t>
  </si>
  <si>
    <t>6-1-702</t>
  </si>
  <si>
    <t>3-2-701</t>
  </si>
  <si>
    <t>3-2-402</t>
  </si>
  <si>
    <t>3-1-1102</t>
  </si>
  <si>
    <t>6-2-401</t>
  </si>
  <si>
    <t>3-2-1101</t>
  </si>
  <si>
    <t>3-1-702</t>
  </si>
  <si>
    <t>3-1-901</t>
  </si>
  <si>
    <t>6-1-1202</t>
  </si>
  <si>
    <t>6-2-1301</t>
  </si>
  <si>
    <t>3-1-401</t>
  </si>
  <si>
    <t>6-2-101</t>
  </si>
  <si>
    <t>6-1-501</t>
  </si>
  <si>
    <t>3-2-1102</t>
  </si>
  <si>
    <t>6-1-1301</t>
  </si>
  <si>
    <t>3-2-301</t>
  </si>
  <si>
    <t>6-2-1401</t>
  </si>
  <si>
    <t>2-1-402</t>
  </si>
  <si>
    <t>3-2-902</t>
  </si>
  <si>
    <t>3-2-1502</t>
  </si>
  <si>
    <t>6-1-402</t>
  </si>
  <si>
    <t>3-2-601</t>
  </si>
  <si>
    <t>6-1-201</t>
  </si>
  <si>
    <t>3-2-802</t>
  </si>
  <si>
    <t>3-2-1401</t>
  </si>
  <si>
    <t>3-2-1001</t>
  </si>
  <si>
    <t>3-2-501</t>
  </si>
  <si>
    <t>6-2-1501</t>
  </si>
  <si>
    <t>6-1-202</t>
  </si>
  <si>
    <t>3-1-402</t>
  </si>
  <si>
    <t>6-1-1101</t>
  </si>
  <si>
    <t>2-2-502</t>
  </si>
  <si>
    <t>2-1-702</t>
  </si>
  <si>
    <t>6-2-701</t>
  </si>
  <si>
    <t>2-1-1102</t>
  </si>
  <si>
    <t>6-2-1302</t>
  </si>
  <si>
    <t>6-2-901</t>
  </si>
  <si>
    <t>3-1-502</t>
  </si>
  <si>
    <t>2-1-802</t>
  </si>
  <si>
    <t>6-1-901</t>
  </si>
  <si>
    <t>2-2-701</t>
  </si>
  <si>
    <t>2-2-1301</t>
  </si>
  <si>
    <t>6-1-902</t>
  </si>
  <si>
    <t>6-2-902</t>
  </si>
  <si>
    <t>2-2-1201</t>
  </si>
  <si>
    <t>2-1-1101</t>
  </si>
  <si>
    <t>6-1-701</t>
  </si>
  <si>
    <t>6-2-202</t>
  </si>
  <si>
    <t>3-1-1501</t>
  </si>
  <si>
    <t>6-2-801</t>
  </si>
  <si>
    <t>2-1-601</t>
  </si>
  <si>
    <t>6-2-402</t>
  </si>
  <si>
    <t>2-1-902</t>
  </si>
  <si>
    <t>3-1-1202</t>
  </si>
  <si>
    <t>3-1-1101</t>
  </si>
  <si>
    <t>6-1-1001</t>
  </si>
  <si>
    <t>3-1-101</t>
  </si>
  <si>
    <t>3-1-701</t>
  </si>
  <si>
    <t>2-2-601</t>
  </si>
  <si>
    <t>3-1-801</t>
  </si>
  <si>
    <t>3-2-1301</t>
  </si>
  <si>
    <t>3-2-1202</t>
  </si>
  <si>
    <t>3-2-202</t>
  </si>
  <si>
    <t>3-1-301</t>
  </si>
  <si>
    <t>3-2-201</t>
  </si>
  <si>
    <t>3-1-201</t>
  </si>
  <si>
    <t>2-1-502</t>
  </si>
  <si>
    <t>3-2-1002</t>
  </si>
  <si>
    <t>二期</t>
    <phoneticPr fontId="233" type="noConversion"/>
  </si>
  <si>
    <t>洋房</t>
    <phoneticPr fontId="233" type="noConversion"/>
  </si>
  <si>
    <t>12-1-301</t>
  </si>
  <si>
    <t>12-1-502</t>
  </si>
  <si>
    <t>12-1-602</t>
  </si>
  <si>
    <t>二期</t>
    <phoneticPr fontId="233" type="noConversion"/>
  </si>
  <si>
    <t>洋房</t>
    <phoneticPr fontId="233" type="noConversion"/>
  </si>
  <si>
    <t>12-2-301</t>
  </si>
  <si>
    <t>12-2-302</t>
  </si>
  <si>
    <t>12-3-302</t>
  </si>
  <si>
    <t>12-5-301</t>
  </si>
  <si>
    <t>18-1-301</t>
  </si>
  <si>
    <t>18-1-401</t>
  </si>
  <si>
    <t>18-1-402</t>
  </si>
  <si>
    <t>18-1-501</t>
  </si>
  <si>
    <t>18-2-301</t>
  </si>
  <si>
    <t>18-2-302</t>
  </si>
  <si>
    <t>18-2-401</t>
  </si>
  <si>
    <t>18-2-501</t>
  </si>
  <si>
    <t>18-2-601</t>
  </si>
  <si>
    <t>18-3-201</t>
  </si>
  <si>
    <t>18-3-301</t>
  </si>
  <si>
    <t>18-3-401</t>
  </si>
  <si>
    <t>18-3-402</t>
  </si>
  <si>
    <t>18-3-501</t>
  </si>
  <si>
    <t>18-3-502</t>
  </si>
  <si>
    <t>17-2-301</t>
  </si>
  <si>
    <t>17-2-201</t>
  </si>
  <si>
    <t>17-2-402</t>
  </si>
  <si>
    <t>17-2-302</t>
  </si>
  <si>
    <t>17-2-401</t>
  </si>
  <si>
    <t>17-2-502</t>
  </si>
  <si>
    <t>17-2-601</t>
  </si>
  <si>
    <t>17-1-302</t>
  </si>
  <si>
    <t>17-1-402</t>
  </si>
  <si>
    <t>17-1-201</t>
  </si>
  <si>
    <t>17-1-501</t>
  </si>
  <si>
    <t>17-1-602</t>
  </si>
  <si>
    <t>17-1-601</t>
  </si>
  <si>
    <t>17-1-502</t>
  </si>
  <si>
    <t>10-5-502</t>
  </si>
  <si>
    <t>10-1-402</t>
  </si>
  <si>
    <t>10-5-401</t>
  </si>
  <si>
    <t>10-1-201</t>
  </si>
  <si>
    <t>10-2-202</t>
  </si>
  <si>
    <t>10-1-302</t>
  </si>
  <si>
    <t>10-3-302</t>
  </si>
  <si>
    <t>18-1-102</t>
  </si>
  <si>
    <t>18-1-101</t>
  </si>
  <si>
    <t>18-2-102</t>
  </si>
  <si>
    <t>18-2-101</t>
  </si>
  <si>
    <t>18-3-102</t>
  </si>
  <si>
    <t>18-3-101</t>
  </si>
  <si>
    <t>17-1-102</t>
  </si>
  <si>
    <t>17-1-101</t>
  </si>
  <si>
    <t>17-2-102</t>
  </si>
  <si>
    <t>17-2-101</t>
  </si>
  <si>
    <t>12-1-102</t>
  </si>
  <si>
    <t>12-1-101</t>
  </si>
  <si>
    <t>10-1-102</t>
  </si>
  <si>
    <t>12-5-101</t>
  </si>
  <si>
    <t>12-5-102</t>
  </si>
  <si>
    <t>12-4-101</t>
  </si>
  <si>
    <t>10-5-101</t>
  </si>
  <si>
    <t>10-5-102</t>
  </si>
  <si>
    <t>10-4-101</t>
  </si>
  <si>
    <t>10-4-102</t>
  </si>
  <si>
    <t>10-3-101</t>
  </si>
  <si>
    <t>10-3-102</t>
  </si>
  <si>
    <t>10-2-101</t>
  </si>
  <si>
    <t>10-2-102</t>
  </si>
  <si>
    <t>10-1-101</t>
  </si>
  <si>
    <t>12-4-102</t>
  </si>
  <si>
    <t>12-3-101</t>
  </si>
  <si>
    <t>12-3-102</t>
  </si>
  <si>
    <t>12-2-101</t>
  </si>
  <si>
    <t>12-2-102</t>
  </si>
  <si>
    <t>10-1-502</t>
  </si>
  <si>
    <t>10-2-302</t>
  </si>
  <si>
    <t>10-4-501</t>
  </si>
  <si>
    <t>10-5-202</t>
  </si>
  <si>
    <t>10-3-402</t>
  </si>
  <si>
    <t>10-4-402</t>
  </si>
  <si>
    <t>10-2-501</t>
  </si>
  <si>
    <t>12-5-401</t>
  </si>
  <si>
    <t>12-5-501</t>
  </si>
  <si>
    <t>12-5-202</t>
  </si>
  <si>
    <t>12-3-402</t>
  </si>
  <si>
    <t>12-2-402</t>
  </si>
  <si>
    <t>12-3-401</t>
  </si>
  <si>
    <t>12-1-401</t>
  </si>
  <si>
    <t>12-2-502</t>
  </si>
  <si>
    <t>12-4-401</t>
  </si>
  <si>
    <t>12-1-501</t>
  </si>
  <si>
    <t>10-3-201</t>
  </si>
  <si>
    <t>12-3-501</t>
  </si>
  <si>
    <t>12-5-402</t>
  </si>
  <si>
    <t>10-4-502</t>
  </si>
  <si>
    <t>17-2-602</t>
  </si>
  <si>
    <t>12-2-501</t>
  </si>
  <si>
    <t>12-2-601</t>
  </si>
  <si>
    <t>12-4-601</t>
  </si>
  <si>
    <t>12-4-201</t>
  </si>
  <si>
    <t>12-4-502</t>
  </si>
  <si>
    <t>18-2-502</t>
  </si>
  <si>
    <t>17-1-401</t>
  </si>
  <si>
    <t>12-3-602</t>
  </si>
  <si>
    <t>12-1-201</t>
  </si>
  <si>
    <t>12-3-502</t>
  </si>
  <si>
    <t>18-2-202</t>
  </si>
  <si>
    <t>18-1-302</t>
  </si>
  <si>
    <t>18-3-602</t>
  </si>
  <si>
    <t>10-1-501</t>
  </si>
  <si>
    <t>10-3-401</t>
  </si>
  <si>
    <t>18-1-502</t>
  </si>
  <si>
    <t>10-2-201</t>
  </si>
  <si>
    <t>10-2-401</t>
  </si>
  <si>
    <t>12-4-302</t>
  </si>
  <si>
    <t>10-3-301</t>
  </si>
  <si>
    <t>10-5-501</t>
  </si>
  <si>
    <t>12-3-202</t>
  </si>
  <si>
    <t>12-1-601</t>
  </si>
  <si>
    <t>18-2-402</t>
  </si>
  <si>
    <t>17-2-501</t>
  </si>
  <si>
    <t>10-1-301</t>
  </si>
  <si>
    <t>10-2-301</t>
  </si>
  <si>
    <t>18-3-202</t>
  </si>
  <si>
    <t>18-2-602</t>
  </si>
  <si>
    <t>12-4-402</t>
  </si>
  <si>
    <t>12-5-602</t>
  </si>
  <si>
    <t>10-3-202</t>
  </si>
  <si>
    <t>10-4-201</t>
  </si>
  <si>
    <t>12-3-201</t>
  </si>
  <si>
    <t>10-2-502</t>
  </si>
  <si>
    <t>3#已售</t>
  </si>
  <si>
    <r>
      <t>1</t>
    </r>
    <r>
      <rPr>
        <sz val="11"/>
        <color theme="1"/>
        <rFont val="宋体"/>
        <family val="3"/>
        <charset val="134"/>
        <scheme val="minor"/>
      </rPr>
      <t>#</t>
    </r>
    <phoneticPr fontId="233" type="noConversion"/>
  </si>
  <si>
    <t>一期</t>
    <phoneticPr fontId="233" type="noConversion"/>
  </si>
  <si>
    <r>
      <t>2</t>
    </r>
    <r>
      <rPr>
        <sz val="11"/>
        <color theme="1"/>
        <rFont val="宋体"/>
        <family val="3"/>
        <charset val="134"/>
        <scheme val="minor"/>
      </rPr>
      <t>#</t>
    </r>
    <phoneticPr fontId="233" type="noConversion"/>
  </si>
  <si>
    <t>3#</t>
    <phoneticPr fontId="233" type="noConversion"/>
  </si>
  <si>
    <t>4#</t>
    <phoneticPr fontId="233" type="noConversion"/>
  </si>
  <si>
    <t>5#</t>
    <phoneticPr fontId="233" type="noConversion"/>
  </si>
  <si>
    <t>6#</t>
    <phoneticPr fontId="233" type="noConversion"/>
  </si>
  <si>
    <t>7#</t>
    <phoneticPr fontId="233" type="noConversion"/>
  </si>
  <si>
    <t>8#</t>
    <phoneticPr fontId="233" type="noConversion"/>
  </si>
  <si>
    <t>9#</t>
    <phoneticPr fontId="233" type="noConversion"/>
  </si>
  <si>
    <t>二期</t>
    <phoneticPr fontId="233" type="noConversion"/>
  </si>
  <si>
    <r>
      <t>10</t>
    </r>
    <r>
      <rPr>
        <sz val="11"/>
        <color theme="1"/>
        <rFont val="宋体"/>
        <family val="3"/>
        <charset val="134"/>
        <scheme val="minor"/>
      </rPr>
      <t>#</t>
    </r>
    <phoneticPr fontId="233" type="noConversion"/>
  </si>
  <si>
    <t>10#</t>
    <phoneticPr fontId="233" type="noConversion"/>
  </si>
  <si>
    <t>17#</t>
    <phoneticPr fontId="233" type="noConversion"/>
  </si>
  <si>
    <t>18#</t>
    <phoneticPr fontId="233" type="noConversion"/>
  </si>
  <si>
    <t>高层</t>
    <phoneticPr fontId="233" type="noConversion"/>
  </si>
  <si>
    <t>小高层</t>
    <phoneticPr fontId="233" type="noConversion"/>
  </si>
  <si>
    <t>小高层</t>
    <phoneticPr fontId="233" type="noConversion"/>
  </si>
  <si>
    <t>小高层</t>
    <phoneticPr fontId="233" type="noConversion"/>
  </si>
  <si>
    <t>高层</t>
    <phoneticPr fontId="233" type="noConversion"/>
  </si>
  <si>
    <t>洋房</t>
    <phoneticPr fontId="233" type="noConversion"/>
  </si>
  <si>
    <t>1#已售</t>
    <phoneticPr fontId="3" type="noConversion"/>
  </si>
  <si>
    <t>2#已售</t>
  </si>
  <si>
    <t>4#已售</t>
  </si>
  <si>
    <t>5#已售</t>
  </si>
  <si>
    <t>6#已售</t>
  </si>
  <si>
    <t>7#已售</t>
  </si>
  <si>
    <t>8#已售</t>
  </si>
  <si>
    <t>9#已售</t>
  </si>
  <si>
    <t>10#已售</t>
  </si>
  <si>
    <t>12#</t>
    <phoneticPr fontId="233" type="noConversion"/>
  </si>
  <si>
    <t>12#已售</t>
    <phoneticPr fontId="3" type="noConversion"/>
  </si>
  <si>
    <t>17#已售</t>
    <phoneticPr fontId="3" type="noConversion"/>
  </si>
  <si>
    <t>18#已售</t>
    <phoneticPr fontId="3" type="noConversion"/>
  </si>
  <si>
    <t>地上</t>
  </si>
  <si>
    <t>普通住宅</t>
  </si>
  <si>
    <t>高层已售</t>
    <phoneticPr fontId="233" type="noConversion"/>
  </si>
  <si>
    <t>小高层已售</t>
    <phoneticPr fontId="233" type="noConversion"/>
  </si>
  <si>
    <t>洋房已售</t>
    <phoneticPr fontId="233" type="noConversion"/>
  </si>
  <si>
    <r>
      <t>2#</t>
    </r>
    <r>
      <rPr>
        <sz val="11"/>
        <color theme="1"/>
        <rFont val="宋体"/>
        <family val="3"/>
        <charset val="134"/>
        <scheme val="minor"/>
      </rPr>
      <t/>
    </r>
  </si>
  <si>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</si>
  <si>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</si>
  <si>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</si>
  <si>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</si>
  <si>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</si>
  <si>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</si>
  <si>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r>
      <t>9#</t>
    </r>
    <r>
      <rPr>
        <sz val="11"/>
        <color theme="1"/>
        <rFont val="宋体"/>
        <family val="3"/>
        <charset val="134"/>
        <scheme val="minor"/>
      </rPr>
      <t/>
    </r>
  </si>
  <si>
    <r>
      <t>12</t>
    </r>
    <r>
      <rPr>
        <sz val="11"/>
        <color theme="1"/>
        <rFont val="宋体"/>
        <family val="3"/>
        <charset val="134"/>
        <scheme val="minor"/>
      </rPr>
      <t>#</t>
    </r>
    <phoneticPr fontId="233" type="noConversion"/>
  </si>
  <si>
    <r>
      <t>17</t>
    </r>
    <r>
      <rPr>
        <sz val="11"/>
        <color theme="1"/>
        <rFont val="宋体"/>
        <family val="3"/>
        <charset val="134"/>
        <scheme val="minor"/>
      </rPr>
      <t>#</t>
    </r>
    <phoneticPr fontId="233" type="noConversion"/>
  </si>
  <si>
    <r>
      <t>18</t>
    </r>
    <r>
      <rPr>
        <sz val="11"/>
        <color theme="1"/>
        <rFont val="宋体"/>
        <family val="3"/>
        <charset val="134"/>
        <scheme val="minor"/>
      </rPr>
      <t>#</t>
    </r>
    <phoneticPr fontId="233" type="noConversion"/>
  </si>
  <si>
    <r>
      <t>1</t>
    </r>
    <r>
      <rPr>
        <sz val="11"/>
        <color theme="1"/>
        <rFont val="宋体"/>
        <family val="3"/>
        <charset val="134"/>
        <scheme val="minor"/>
      </rPr>
      <t>#商业</t>
    </r>
    <phoneticPr fontId="233" type="noConversion"/>
  </si>
  <si>
    <r>
      <t>1</t>
    </r>
    <r>
      <rPr>
        <sz val="11"/>
        <color theme="1"/>
        <rFont val="宋体"/>
        <family val="3"/>
        <charset val="134"/>
        <scheme val="minor"/>
      </rPr>
      <t>#设备</t>
    </r>
    <phoneticPr fontId="233" type="noConversion"/>
  </si>
  <si>
    <r>
      <t>2</t>
    </r>
    <r>
      <rPr>
        <sz val="11"/>
        <color theme="1"/>
        <rFont val="宋体"/>
        <family val="3"/>
        <charset val="134"/>
        <scheme val="minor"/>
      </rPr>
      <t>#商业</t>
    </r>
    <phoneticPr fontId="233" type="noConversion"/>
  </si>
  <si>
    <t>2#设备</t>
    <phoneticPr fontId="233" type="noConversion"/>
  </si>
  <si>
    <t>7#商业</t>
    <phoneticPr fontId="233" type="noConversion"/>
  </si>
  <si>
    <t>7#设备</t>
    <phoneticPr fontId="233" type="noConversion"/>
  </si>
  <si>
    <t>8#商业</t>
    <phoneticPr fontId="233" type="noConversion"/>
  </si>
  <si>
    <t>8#设备</t>
    <phoneticPr fontId="233" type="noConversion"/>
  </si>
  <si>
    <t>9#商业</t>
    <phoneticPr fontId="233" type="noConversion"/>
  </si>
  <si>
    <t>9#设备</t>
    <phoneticPr fontId="233" type="noConversion"/>
  </si>
  <si>
    <t>9#物业</t>
    <phoneticPr fontId="233" type="noConversion"/>
  </si>
  <si>
    <t>3，6#设备</t>
    <phoneticPr fontId="233" type="noConversion"/>
  </si>
  <si>
    <t>4#设备</t>
    <phoneticPr fontId="233" type="noConversion"/>
  </si>
  <si>
    <t>5#设备</t>
    <phoneticPr fontId="233" type="noConversion"/>
  </si>
  <si>
    <t>7#物业</t>
    <phoneticPr fontId="233" type="noConversion"/>
  </si>
  <si>
    <t>8#物业</t>
    <phoneticPr fontId="233" type="noConversion"/>
  </si>
  <si>
    <t>10#商业</t>
    <phoneticPr fontId="233" type="noConversion"/>
  </si>
  <si>
    <t>10#设备</t>
    <phoneticPr fontId="233" type="noConversion"/>
  </si>
  <si>
    <t>11#设备</t>
    <phoneticPr fontId="233" type="noConversion"/>
  </si>
  <si>
    <t>1#未售高层</t>
    <phoneticPr fontId="233" type="noConversion"/>
  </si>
  <si>
    <t>2#未售小高层</t>
    <phoneticPr fontId="233" type="noConversion"/>
  </si>
  <si>
    <t>3，6#未售小高层</t>
    <phoneticPr fontId="233" type="noConversion"/>
  </si>
  <si>
    <t>4#未售高层</t>
    <phoneticPr fontId="233" type="noConversion"/>
  </si>
  <si>
    <r>
      <t>5</t>
    </r>
    <r>
      <rPr>
        <sz val="11"/>
        <color theme="1"/>
        <rFont val="宋体"/>
        <family val="3"/>
        <charset val="134"/>
        <scheme val="minor"/>
      </rPr>
      <t>#未售高层</t>
    </r>
    <phoneticPr fontId="233" type="noConversion"/>
  </si>
  <si>
    <r>
      <t>7</t>
    </r>
    <r>
      <rPr>
        <sz val="11"/>
        <color theme="1"/>
        <rFont val="宋体"/>
        <family val="3"/>
        <charset val="134"/>
        <scheme val="minor"/>
      </rPr>
      <t>#未售高层</t>
    </r>
    <phoneticPr fontId="233" type="noConversion"/>
  </si>
  <si>
    <t>8#未售高层</t>
    <phoneticPr fontId="233" type="noConversion"/>
  </si>
  <si>
    <t>9#未售高层</t>
    <phoneticPr fontId="233" type="noConversion"/>
  </si>
  <si>
    <r>
      <t>1</t>
    </r>
    <r>
      <rPr>
        <sz val="11"/>
        <color theme="1"/>
        <rFont val="宋体"/>
        <family val="3"/>
        <charset val="134"/>
        <scheme val="minor"/>
      </rPr>
      <t>0#未售洋房</t>
    </r>
    <phoneticPr fontId="233" type="noConversion"/>
  </si>
  <si>
    <t>12#未售洋房</t>
    <phoneticPr fontId="233" type="noConversion"/>
  </si>
  <si>
    <r>
      <t>1</t>
    </r>
    <r>
      <rPr>
        <sz val="11"/>
        <color theme="1"/>
        <rFont val="宋体"/>
        <family val="3"/>
        <charset val="134"/>
        <scheme val="minor"/>
      </rPr>
      <t>2#设备</t>
    </r>
    <phoneticPr fontId="233" type="noConversion"/>
  </si>
  <si>
    <r>
      <t>1</t>
    </r>
    <r>
      <rPr>
        <sz val="11"/>
        <color theme="1"/>
        <rFont val="宋体"/>
        <family val="3"/>
        <charset val="134"/>
        <scheme val="minor"/>
      </rPr>
      <t>3#未售洋房</t>
    </r>
    <phoneticPr fontId="233" type="noConversion"/>
  </si>
  <si>
    <t>11#未售洋房</t>
    <phoneticPr fontId="233" type="noConversion"/>
  </si>
  <si>
    <r>
      <t>1</t>
    </r>
    <r>
      <rPr>
        <sz val="11"/>
        <color theme="1"/>
        <rFont val="宋体"/>
        <family val="3"/>
        <charset val="134"/>
        <scheme val="minor"/>
      </rPr>
      <t>3#设备</t>
    </r>
    <phoneticPr fontId="233" type="noConversion"/>
  </si>
  <si>
    <r>
      <t>1</t>
    </r>
    <r>
      <rPr>
        <sz val="11"/>
        <color theme="1"/>
        <rFont val="宋体"/>
        <family val="3"/>
        <charset val="134"/>
        <scheme val="minor"/>
      </rPr>
      <t>4、25#未售洋房</t>
    </r>
    <phoneticPr fontId="233" type="noConversion"/>
  </si>
  <si>
    <r>
      <t>1</t>
    </r>
    <r>
      <rPr>
        <sz val="11"/>
        <color theme="1"/>
        <rFont val="宋体"/>
        <family val="3"/>
        <charset val="134"/>
        <scheme val="minor"/>
      </rPr>
      <t>4、25#设备</t>
    </r>
    <phoneticPr fontId="233" type="noConversion"/>
  </si>
  <si>
    <r>
      <t>1</t>
    </r>
    <r>
      <rPr>
        <sz val="11"/>
        <color theme="1"/>
        <rFont val="宋体"/>
        <family val="3"/>
        <charset val="134"/>
        <scheme val="minor"/>
      </rPr>
      <t>5#未售洋房</t>
    </r>
    <phoneticPr fontId="233" type="noConversion"/>
  </si>
  <si>
    <t>15#设备</t>
    <phoneticPr fontId="233" type="noConversion"/>
  </si>
  <si>
    <r>
      <t>1</t>
    </r>
    <r>
      <rPr>
        <sz val="11"/>
        <color theme="1"/>
        <rFont val="宋体"/>
        <family val="3"/>
        <charset val="134"/>
        <scheme val="minor"/>
      </rPr>
      <t>6#未售洋房</t>
    </r>
    <phoneticPr fontId="233" type="noConversion"/>
  </si>
  <si>
    <r>
      <t>1</t>
    </r>
    <r>
      <rPr>
        <sz val="11"/>
        <color theme="1"/>
        <rFont val="宋体"/>
        <family val="3"/>
        <charset val="134"/>
        <scheme val="minor"/>
      </rPr>
      <t>6#设备</t>
    </r>
    <phoneticPr fontId="233" type="noConversion"/>
  </si>
  <si>
    <r>
      <t>1</t>
    </r>
    <r>
      <rPr>
        <sz val="11"/>
        <color theme="1"/>
        <rFont val="宋体"/>
        <family val="3"/>
        <charset val="134"/>
        <scheme val="minor"/>
      </rPr>
      <t>7，23#未售洋房</t>
    </r>
    <phoneticPr fontId="233" type="noConversion"/>
  </si>
  <si>
    <t>17，23#设备</t>
    <phoneticPr fontId="233" type="noConversion"/>
  </si>
  <si>
    <t>18#未售洋房</t>
    <phoneticPr fontId="233" type="noConversion"/>
  </si>
  <si>
    <t>18#设备</t>
    <phoneticPr fontId="233" type="noConversion"/>
  </si>
  <si>
    <t>19，21#未售洋房</t>
    <phoneticPr fontId="233" type="noConversion"/>
  </si>
  <si>
    <t>19，21#设备</t>
    <phoneticPr fontId="233" type="noConversion"/>
  </si>
  <si>
    <t>20#未售洋房</t>
    <phoneticPr fontId="233" type="noConversion"/>
  </si>
  <si>
    <t>20#设备</t>
    <phoneticPr fontId="233" type="noConversion"/>
  </si>
  <si>
    <t>24#未售洋房</t>
    <phoneticPr fontId="233" type="noConversion"/>
  </si>
  <si>
    <t>24#设备</t>
    <phoneticPr fontId="233" type="noConversion"/>
  </si>
  <si>
    <t>26#未售洋房</t>
    <phoneticPr fontId="233" type="noConversion"/>
  </si>
  <si>
    <t>26#设备</t>
    <phoneticPr fontId="233" type="noConversion"/>
  </si>
  <si>
    <t>27#未售洋房</t>
    <phoneticPr fontId="233" type="noConversion"/>
  </si>
  <si>
    <t>27#设备</t>
    <phoneticPr fontId="233" type="noConversion"/>
  </si>
  <si>
    <t>28#未售洋房</t>
    <phoneticPr fontId="233" type="noConversion"/>
  </si>
  <si>
    <t>28#设备</t>
    <phoneticPr fontId="233" type="noConversion"/>
  </si>
  <si>
    <t>29#未售洋房</t>
    <phoneticPr fontId="233" type="noConversion"/>
  </si>
  <si>
    <t>29#设备</t>
    <phoneticPr fontId="233" type="noConversion"/>
  </si>
  <si>
    <t>一期变电站</t>
    <phoneticPr fontId="233" type="noConversion"/>
  </si>
  <si>
    <t>配建1（托老所）</t>
    <phoneticPr fontId="233" type="noConversion"/>
  </si>
  <si>
    <t>配建2（菜市场）</t>
    <phoneticPr fontId="233" type="noConversion"/>
  </si>
  <si>
    <t>配建2（社区文化中心、社区卫生服务站）</t>
    <phoneticPr fontId="233" type="noConversion"/>
  </si>
  <si>
    <t>地下车库</t>
    <phoneticPr fontId="233" type="noConversion"/>
  </si>
  <si>
    <t>二期变电站</t>
    <phoneticPr fontId="233" type="noConversion"/>
  </si>
  <si>
    <t>22#未售洋房</t>
    <phoneticPr fontId="233" type="noConversion"/>
  </si>
  <si>
    <t>30#未售洋房</t>
    <phoneticPr fontId="233" type="noConversion"/>
  </si>
  <si>
    <t>高层未售</t>
    <phoneticPr fontId="233" type="noConversion"/>
  </si>
  <si>
    <t>小高层未售</t>
    <phoneticPr fontId="233" type="noConversion"/>
  </si>
  <si>
    <t>洋房未售</t>
    <phoneticPr fontId="233" type="noConversion"/>
  </si>
  <si>
    <t>公共配套</t>
    <phoneticPr fontId="233" type="noConversion"/>
  </si>
  <si>
    <t>设备用房</t>
    <phoneticPr fontId="233" type="noConversion"/>
  </si>
  <si>
    <t>物业用房</t>
    <phoneticPr fontId="233" type="noConversion"/>
  </si>
  <si>
    <t>地下车库用房</t>
    <phoneticPr fontId="233" type="noConversion"/>
  </si>
  <si>
    <t>住宅未售</t>
    <phoneticPr fontId="3" type="noConversion"/>
  </si>
  <si>
    <t>商业</t>
    <phoneticPr fontId="3" type="noConversion"/>
  </si>
  <si>
    <t>底商</t>
  </si>
  <si>
    <t>商业用房</t>
    <phoneticPr fontId="233" type="noConversion"/>
  </si>
  <si>
    <t>地下车库</t>
    <phoneticPr fontId="3" type="noConversion"/>
  </si>
  <si>
    <t>地下</t>
  </si>
  <si>
    <t>车库</t>
  </si>
  <si>
    <t>公共配套设施</t>
    <phoneticPr fontId="3" type="noConversion"/>
  </si>
  <si>
    <t>设备用房</t>
    <phoneticPr fontId="3" type="noConversion"/>
  </si>
  <si>
    <t>物业管理用房</t>
    <phoneticPr fontId="3" type="noConversion"/>
  </si>
  <si>
    <t>高层</t>
  </si>
  <si>
    <t>高层</t>
    <phoneticPr fontId="7" type="noConversion"/>
  </si>
  <si>
    <t>小高层</t>
  </si>
  <si>
    <t>小高层</t>
    <phoneticPr fontId="7" type="noConversion"/>
  </si>
  <si>
    <t>洋房</t>
  </si>
  <si>
    <t>商业</t>
    <phoneticPr fontId="7" type="noConversion"/>
  </si>
  <si>
    <t>天津毛坯</t>
    <phoneticPr fontId="3" type="noConversion"/>
  </si>
  <si>
    <t>多层</t>
    <phoneticPr fontId="3" type="noConversion"/>
  </si>
  <si>
    <t>小高层</t>
    <phoneticPr fontId="3" type="noConversion"/>
  </si>
  <si>
    <t>高层</t>
    <phoneticPr fontId="3" type="noConversion"/>
  </si>
  <si>
    <r>
      <rPr>
        <sz val="10"/>
        <color indexed="8"/>
        <rFont val="宋体"/>
        <family val="3"/>
        <charset val="134"/>
      </rPr>
      <t>二期</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17</t>
    </r>
    <r>
      <rPr>
        <sz val="10"/>
        <color indexed="8"/>
        <rFont val="宋体"/>
        <family val="3"/>
        <charset val="134"/>
      </rPr>
      <t>、</t>
    </r>
    <r>
      <rPr>
        <sz val="10"/>
        <color indexed="8"/>
        <rFont val="Arial"/>
        <family val="2"/>
      </rPr>
      <t>18</t>
    </r>
    <r>
      <rPr>
        <sz val="10"/>
        <color indexed="8"/>
        <rFont val="宋体"/>
        <family val="3"/>
        <charset val="134"/>
      </rPr>
      <t>毛坯</t>
    </r>
    <phoneticPr fontId="3" type="noConversion"/>
  </si>
  <si>
    <t>二期剩余精装</t>
    <phoneticPr fontId="3" type="noConversion"/>
  </si>
  <si>
    <t>一期毛坯</t>
    <phoneticPr fontId="3" type="noConversion"/>
  </si>
  <si>
    <t>建安单价</t>
    <phoneticPr fontId="3" type="noConversion"/>
  </si>
  <si>
    <t>面积</t>
    <phoneticPr fontId="3" type="noConversion"/>
  </si>
  <si>
    <r>
      <t>1</t>
    </r>
    <r>
      <rPr>
        <sz val="11"/>
        <color theme="1"/>
        <rFont val="宋体"/>
        <family val="3"/>
        <charset val="134"/>
        <scheme val="minor"/>
      </rPr>
      <t>7未售洋房</t>
    </r>
    <phoneticPr fontId="233"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</si>
  <si>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</si>
  <si>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</si>
  <si>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</si>
  <si>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</si>
  <si>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</si>
  <si>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</si>
  <si>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</si>
  <si>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</si>
  <si>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</si>
  <si>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</si>
  <si>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</si>
  <si>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</si>
  <si>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</si>
  <si>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</si>
  <si>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</si>
  <si>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</si>
  <si>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</si>
  <si>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</si>
  <si>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</si>
  <si>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</si>
  <si>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</si>
  <si>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</si>
  <si>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</si>
  <si>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</si>
  <si>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</si>
  <si>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</si>
  <si>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</si>
  <si>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</si>
  <si>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</si>
  <si>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</si>
  <si>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</si>
  <si>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</si>
  <si>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</si>
  <si>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</si>
  <si>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都旺新城、朝阳里等，分布密度一般，入住率一般，一般</t>
    <phoneticPr fontId="3" type="noConversion"/>
  </si>
  <si>
    <t>津辰商贸城，一般</t>
    <phoneticPr fontId="3" type="noConversion"/>
  </si>
  <si>
    <t>——</t>
    <phoneticPr fontId="3" type="noConversion"/>
  </si>
  <si>
    <t>750、804、909，路网密度一般，停车便捷程度一般，一般</t>
    <phoneticPr fontId="3" type="noConversion"/>
  </si>
  <si>
    <t>较好</t>
    <phoneticPr fontId="3" type="noConversion"/>
  </si>
  <si>
    <t>七通</t>
  </si>
  <si>
    <t>七通</t>
    <phoneticPr fontId="3" type="noConversion"/>
  </si>
  <si>
    <t>有公园，无人文，一般</t>
    <phoneticPr fontId="3" type="noConversion"/>
  </si>
  <si>
    <t>次</t>
    <phoneticPr fontId="21" type="noConversion"/>
  </si>
  <si>
    <t>双面临街</t>
  </si>
  <si>
    <t>地块名称</t>
  </si>
  <si>
    <t>城市</t>
  </si>
  <si>
    <t>用地性质</t>
  </si>
  <si>
    <t>出让方式</t>
  </si>
  <si>
    <t>地块编号</t>
  </si>
  <si>
    <t>建设用地面积(㎡)</t>
  </si>
  <si>
    <t>规划建筑面积(㎡)</t>
  </si>
  <si>
    <t>成交保障房面积(㎡)</t>
  </si>
  <si>
    <t>成交特殊政策</t>
  </si>
  <si>
    <t>成交日期</t>
  </si>
  <si>
    <t>受让单位</t>
  </si>
  <si>
    <t>成交价(万元)</t>
  </si>
  <si>
    <t>成交楼面价(元/㎡)</t>
  </si>
  <si>
    <t>成交楼面价(除保障房)(元/㎡)</t>
  </si>
  <si>
    <t>溢价率</t>
  </si>
  <si>
    <t>出让年限</t>
  </si>
  <si>
    <t>北辰区龙门东道与淮东路交口</t>
  </si>
  <si>
    <t>天津市</t>
  </si>
  <si>
    <t>综合用地(含住宅)</t>
  </si>
  <si>
    <t>挂牌</t>
  </si>
  <si>
    <t>津北辰龙(挂)2018-005号</t>
  </si>
  <si>
    <t>≤2.0(a地块);≤2.0(b地块);≤0.8(c,幼儿园地块);≤2.0(f地块);≤2.0(g地块);≤2.9(h地块);≤2.9(i地块)</t>
  </si>
  <si>
    <t>限地价,含保障房用地</t>
  </si>
  <si>
    <t>2018-02-07</t>
  </si>
  <si>
    <t>深圳市星河房地产开发有限公司</t>
  </si>
  <si>
    <t>城镇住宅70年,商服40年,科教、公园、绿地50年</t>
  </si>
  <si>
    <t>北辰区北辰道与辰永路交口东南侧</t>
  </si>
  <si>
    <t>津北辰北(挂)2017-189号</t>
  </si>
  <si>
    <t>＞1.0且≤2.0(住宅用地);≤0.6(中小学、幼儿园用地)</t>
  </si>
  <si>
    <t>限地价,限房价,竞自持,竞配建,含保障房用地</t>
  </si>
  <si>
    <t>招商(天津招胜房地产有限公司)</t>
  </si>
  <si>
    <t>城镇住宅70年、商服40年、科教50年</t>
  </si>
  <si>
    <t>北辰区大张庄示范镇出让区</t>
  </si>
  <si>
    <t>津辰张(挂)2017-002号</t>
  </si>
  <si>
    <t>＞1.0且≤1.5(地块一);≤2.5(地块二)</t>
  </si>
  <si>
    <t>限地价</t>
  </si>
  <si>
    <t>2018-01-31</t>
  </si>
  <si>
    <t>绿地</t>
  </si>
  <si>
    <t>城镇住宅70年、商服40年、街巷50年</t>
  </si>
  <si>
    <t>北辰区北辰道与辰永路交口西南侧</t>
  </si>
  <si>
    <r>
      <t>津北辰北</t>
    </r>
    <r>
      <rPr>
        <sz val="11"/>
        <color theme="1"/>
        <rFont val="宋体"/>
        <family val="3"/>
        <charset val="134"/>
        <scheme val="minor"/>
      </rPr>
      <t>(</t>
    </r>
    <r>
      <rPr>
        <sz val="10"/>
        <rFont val="宋体"/>
        <family val="3"/>
        <charset val="134"/>
      </rPr>
      <t>挂</t>
    </r>
    <r>
      <rPr>
        <sz val="11"/>
        <color theme="1"/>
        <rFont val="宋体"/>
        <family val="3"/>
        <charset val="134"/>
        <scheme val="minor"/>
      </rPr>
      <t>)2017-188</t>
    </r>
    <r>
      <rPr>
        <sz val="10"/>
        <rFont val="宋体"/>
        <family val="3"/>
        <charset val="134"/>
      </rPr>
      <t>号</t>
    </r>
    <phoneticPr fontId="3" type="noConversion"/>
  </si>
  <si>
    <t>＞1.0且≤2.0(住宅用地);≤0.8(中小学、幼儿园用地)</t>
  </si>
  <si>
    <t>天房</t>
  </si>
  <si>
    <t>北辰区高端装备制造产业园</t>
  </si>
  <si>
    <t>津辰风(挂)2017-007号</t>
  </si>
  <si>
    <t>居住用地＞1且≤1.5;中小学用地≤0.6</t>
  </si>
  <si>
    <t>限地价,竞自持</t>
  </si>
  <si>
    <t>2017-09-14</t>
  </si>
  <si>
    <t>阳光城</t>
  </si>
  <si>
    <t>北辰区志成道北侧</t>
  </si>
  <si>
    <t>津北辰志(挂)2017-091号</t>
  </si>
  <si>
    <t>不大于2.0</t>
  </si>
  <si>
    <t>2017-07-26</t>
  </si>
  <si>
    <t>万科</t>
  </si>
  <si>
    <t>城镇住宅70年、商服40年</t>
  </si>
  <si>
    <t>北辰区龙门东道与朝阳路交口西南侧</t>
  </si>
  <si>
    <t>津北辰高(挂)2017-009号</t>
  </si>
  <si>
    <t>商业服务业设施用地≤1.4、居住用地≤2.0</t>
  </si>
  <si>
    <t>2017-03-09</t>
  </si>
  <si>
    <t>北京润置商业运营管理有限公司</t>
  </si>
  <si>
    <t>北辰区高峰路东侧</t>
  </si>
  <si>
    <t>津北辰高(挂)2017-008号</t>
  </si>
  <si>
    <t>a地块中商业服务业用地≤1.4,c地块中服务设施用地为0.8、居住用地≤2.0</t>
  </si>
  <si>
    <t>北京鹏悦置业有限公司</t>
  </si>
  <si>
    <t>城镇住宅70年、商服40年、公园与绿地50年、科教50年</t>
  </si>
  <si>
    <t>北辰区北辰道北侧</t>
  </si>
  <si>
    <t>津北辰北(挂)2016-015号</t>
  </si>
  <si>
    <t>居住:不大于2.0且大于1.0,中小学、幼儿园用地0.8</t>
  </si>
  <si>
    <t>2016-06-29</t>
  </si>
  <si>
    <t>天津合雨晨商贸有限公司</t>
  </si>
  <si>
    <t>城镇住宅70年、商服40年、科教50年、公共设施50年</t>
  </si>
  <si>
    <t>北辰区北仓镇辰永路与至信路交口</t>
  </si>
  <si>
    <t>津辰北仓(挂)2015-024号</t>
  </si>
  <si>
    <t>居住:大于1.0且≤2.3,中小学、幼儿园用地0.8</t>
  </si>
  <si>
    <t>2016-06-27</t>
  </si>
  <si>
    <t>天津隽投企业管理有限公司</t>
  </si>
  <si>
    <t>城镇住宅70年、科教50年</t>
  </si>
  <si>
    <t>北辰区规划淮东路东侧</t>
  </si>
  <si>
    <t>津北辰淮(挂)2016-024号</t>
  </si>
  <si>
    <t>住宅不超过329914.4平方米,商业≤1.5,科教≤0.8</t>
  </si>
  <si>
    <t>2016-03-25</t>
  </si>
  <si>
    <t>天津奇润置业发展有限公司</t>
  </si>
  <si>
    <t>城镇住宅70年、商服40年、科教50年、公园与绿地50年</t>
  </si>
  <si>
    <t>北辰区顺义道北侧</t>
  </si>
  <si>
    <t>津北辰顺(挂)2016-016号</t>
  </si>
  <si>
    <t>住宅≤2,科教≤0.8</t>
  </si>
  <si>
    <t>2016-03-03</t>
  </si>
  <si>
    <t>中储房地产开发有限公司</t>
  </si>
  <si>
    <t>北辰区沁河中道与规划潞江东路交口</t>
  </si>
  <si>
    <t>津北辰潞(挂)2016-008号</t>
  </si>
  <si>
    <t>住宅:1.0-2.0、科教:0.8</t>
  </si>
  <si>
    <t>2016-02-25</t>
  </si>
  <si>
    <t>南昌正荣(新加坡)置业有限公司</t>
  </si>
  <si>
    <t>北辰区天穆镇</t>
  </si>
  <si>
    <t>津北辰淮(挂)2015-148号</t>
  </si>
  <si>
    <t>居住用地≤2,科教用地≤0.8</t>
  </si>
  <si>
    <t>2016-01-29</t>
  </si>
  <si>
    <t>恒大地产集团天津有限公司</t>
  </si>
  <si>
    <t>津北辰顺(挂)2015-118号</t>
  </si>
  <si>
    <t>≤1.65</t>
  </si>
  <si>
    <t>2015-11-05</t>
  </si>
  <si>
    <t>中储发展股份有限公司</t>
  </si>
  <si>
    <t>住宅70年、商业40年、公园50年</t>
  </si>
  <si>
    <t>正常</t>
  </si>
  <si>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26" type="noConversion"/>
  </si>
  <si>
    <t>蓝岸森林、瑞宁嘉园，分布密度一般，入住率一般，一般</t>
    <phoneticPr fontId="26" type="noConversion"/>
  </si>
  <si>
    <t>苏宁易购、红星美凯龙，一般</t>
    <phoneticPr fontId="26" type="noConversion"/>
  </si>
  <si>
    <r>
      <t>10</t>
    </r>
    <r>
      <rPr>
        <sz val="11"/>
        <rFont val="宋体"/>
        <family val="3"/>
        <charset val="134"/>
      </rPr>
      <t>、</t>
    </r>
    <r>
      <rPr>
        <sz val="11"/>
        <rFont val="Arial"/>
        <family val="2"/>
      </rPr>
      <t>18</t>
    </r>
    <r>
      <rPr>
        <sz val="11"/>
        <rFont val="宋体"/>
        <family val="3"/>
        <charset val="134"/>
      </rPr>
      <t>、</t>
    </r>
    <r>
      <rPr>
        <sz val="11"/>
        <rFont val="Arial"/>
        <family val="2"/>
      </rPr>
      <t>607</t>
    </r>
    <r>
      <rPr>
        <sz val="11"/>
        <rFont val="宋体"/>
        <family val="3"/>
        <charset val="134"/>
      </rPr>
      <t>，地铁</t>
    </r>
    <r>
      <rPr>
        <sz val="11"/>
        <rFont val="Arial"/>
        <family val="2"/>
      </rPr>
      <t>1</t>
    </r>
    <r>
      <rPr>
        <sz val="11"/>
        <rFont val="宋体"/>
        <family val="3"/>
        <charset val="134"/>
      </rPr>
      <t>号线刘园站，路网密集度一般，停车便捷度较好，较好</t>
    </r>
    <phoneticPr fontId="26" type="noConversion"/>
  </si>
  <si>
    <t>北辰公园，无人文，一般</t>
    <phoneticPr fontId="26" type="noConversion"/>
  </si>
  <si>
    <t>楼面地价</t>
  </si>
  <si>
    <t>住宅</t>
    <phoneticPr fontId="21" type="noConversion"/>
  </si>
  <si>
    <t>学校</t>
    <phoneticPr fontId="3" type="noConversion"/>
  </si>
  <si>
    <t>学校</t>
    <phoneticPr fontId="233"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</si>
  <si>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</si>
  <si>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</si>
  <si>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</si>
  <si>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</si>
  <si>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</si>
  <si>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phoneticPr fontId="21" type="noConversion"/>
  </si>
  <si>
    <t>小高层</t>
    <phoneticPr fontId="21" type="noConversion"/>
  </si>
  <si>
    <t>高层</t>
    <phoneticPr fontId="21" type="noConversion"/>
  </si>
  <si>
    <t>钢</t>
    <phoneticPr fontId="21" type="noConversion"/>
  </si>
  <si>
    <t>钢混</t>
  </si>
  <si>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</si>
  <si>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</si>
  <si>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</si>
  <si>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</si>
  <si>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</si>
  <si>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</si>
  <si>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</si>
  <si>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</si>
  <si>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</si>
  <si>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</si>
  <si>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</si>
  <si>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</si>
  <si>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洋房精装</t>
  </si>
  <si>
    <t>洋房精装</t>
    <phoneticPr fontId="7" type="noConversion"/>
  </si>
  <si>
    <t>洋房毛坯</t>
  </si>
  <si>
    <t>洋房毛坯</t>
    <phoneticPr fontId="7" type="noConversion"/>
  </si>
  <si>
    <t>地下车库</t>
    <phoneticPr fontId="7" type="noConversion"/>
  </si>
  <si>
    <t>专业</t>
  </si>
  <si>
    <t>专业</t>
    <phoneticPr fontId="21" type="noConversion"/>
  </si>
  <si>
    <t>普通</t>
    <phoneticPr fontId="21" type="noConversion"/>
  </si>
  <si>
    <t>七通</t>
    <phoneticPr fontId="21" type="noConversion"/>
  </si>
  <si>
    <t>六通</t>
    <phoneticPr fontId="21" type="noConversion"/>
  </si>
  <si>
    <t>五通</t>
  </si>
  <si>
    <t>五通</t>
    <phoneticPr fontId="21" type="noConversion"/>
  </si>
  <si>
    <t>四通</t>
    <phoneticPr fontId="21" type="noConversion"/>
  </si>
  <si>
    <t>三通</t>
    <phoneticPr fontId="21" type="noConversion"/>
  </si>
  <si>
    <t>60-70（含）</t>
  </si>
  <si>
    <t>融创臻园</t>
    <phoneticPr fontId="3" type="noConversion"/>
  </si>
  <si>
    <t>正荣府</t>
    <phoneticPr fontId="3" type="noConversion"/>
  </si>
  <si>
    <t>金侨宸公馆</t>
    <phoneticPr fontId="3" type="noConversion"/>
  </si>
  <si>
    <t>售价</t>
  </si>
  <si>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</si>
  <si>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t>银行，超市，餐饮</t>
    <phoneticPr fontId="21" type="noConversion"/>
  </si>
  <si>
    <t>无公园自然，有天津职业大学，天津市有机化工二厂，较差</t>
    <phoneticPr fontId="21" type="noConversion"/>
  </si>
  <si>
    <t>南仓新苑、大通绿岛，密度一般，停车一般，一般</t>
    <phoneticPr fontId="21" type="noConversion"/>
  </si>
  <si>
    <r>
      <t>764</t>
    </r>
    <r>
      <rPr>
        <sz val="11"/>
        <rFont val="宋体"/>
        <family val="3"/>
        <charset val="134"/>
      </rPr>
      <t>、</t>
    </r>
    <r>
      <rPr>
        <sz val="11"/>
        <rFont val="Arial"/>
        <family val="2"/>
      </rPr>
      <t>850</t>
    </r>
    <r>
      <rPr>
        <sz val="11"/>
        <rFont val="宋体"/>
        <family val="3"/>
        <charset val="134"/>
      </rPr>
      <t>、</t>
    </r>
    <r>
      <rPr>
        <sz val="11"/>
        <rFont val="Arial"/>
        <family val="2"/>
      </rPr>
      <t>909</t>
    </r>
    <r>
      <rPr>
        <sz val="11"/>
        <rFont val="宋体"/>
        <family val="3"/>
        <charset val="134"/>
      </rPr>
      <t>，密集度一般，停车一般，一般</t>
    </r>
    <phoneticPr fontId="21" type="noConversion"/>
  </si>
  <si>
    <r>
      <t>743</t>
    </r>
    <r>
      <rPr>
        <sz val="11"/>
        <rFont val="宋体"/>
        <family val="3"/>
        <charset val="134"/>
      </rPr>
      <t>、</t>
    </r>
    <r>
      <rPr>
        <sz val="11"/>
        <rFont val="Arial"/>
        <family val="2"/>
      </rPr>
      <t>345</t>
    </r>
    <r>
      <rPr>
        <sz val="11"/>
        <rFont val="宋体"/>
        <family val="3"/>
        <charset val="134"/>
      </rPr>
      <t>、</t>
    </r>
    <r>
      <rPr>
        <sz val="11"/>
        <rFont val="Arial"/>
        <family val="2"/>
      </rPr>
      <t>906</t>
    </r>
    <r>
      <rPr>
        <sz val="11"/>
        <rFont val="宋体"/>
        <family val="3"/>
        <charset val="134"/>
      </rPr>
      <t>，密集度一般，停车一般，一般</t>
    </r>
    <phoneticPr fontId="21" type="noConversion"/>
  </si>
  <si>
    <t>有公园，无人文，重机工业园，较差</t>
    <phoneticPr fontId="21" type="noConversion"/>
  </si>
  <si>
    <t>已全部缴纳</t>
  </si>
  <si>
    <t>不动产收益法</t>
  </si>
  <si>
    <t>土地（套用方法）</t>
  </si>
  <si>
    <t>自定义</t>
  </si>
  <si>
    <t>商业</t>
    <phoneticPr fontId="26" type="noConversion"/>
  </si>
  <si>
    <t>30-40（含）</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</si>
  <si>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</si>
  <si>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</si>
  <si>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</si>
  <si>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</si>
  <si>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</si>
  <si>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</si>
  <si>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</si>
  <si>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</si>
  <si>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t>商业街商铺</t>
  </si>
  <si>
    <t>商业街商铺</t>
    <phoneticPr fontId="26" type="noConversion"/>
  </si>
  <si>
    <t>独立商业</t>
    <phoneticPr fontId="26" type="noConversion"/>
  </si>
  <si>
    <t>住宅底商</t>
  </si>
  <si>
    <t>住宅底商</t>
    <phoneticPr fontId="26" type="noConversion"/>
  </si>
  <si>
    <t>钢混</t>
    <phoneticPr fontId="26" type="noConversion"/>
  </si>
  <si>
    <t>钢</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</si>
  <si>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</si>
  <si>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</si>
  <si>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</si>
  <si>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</si>
  <si>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</si>
  <si>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</si>
  <si>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</si>
  <si>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</si>
  <si>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</si>
  <si>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</si>
  <si>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</si>
  <si>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</si>
  <si>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</si>
  <si>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</si>
  <si>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</si>
  <si>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</si>
  <si>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</si>
  <si>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较不适宜</t>
    <phoneticPr fontId="26" type="noConversion"/>
  </si>
  <si>
    <t>1层</t>
  </si>
  <si>
    <t>20-30（含）</t>
  </si>
  <si>
    <t>津品鉴筑</t>
    <phoneticPr fontId="3" type="noConversion"/>
  </si>
  <si>
    <t>双发商业街</t>
    <phoneticPr fontId="3" type="noConversion"/>
  </si>
  <si>
    <t>1#1层</t>
    <phoneticPr fontId="21" type="noConversion"/>
  </si>
  <si>
    <r>
      <t>1#2</t>
    </r>
    <r>
      <rPr>
        <sz val="10"/>
        <color indexed="8"/>
        <rFont val="宋体"/>
        <family val="3"/>
        <charset val="134"/>
      </rPr>
      <t>层</t>
    </r>
    <phoneticPr fontId="21" type="noConversion"/>
  </si>
  <si>
    <r>
      <t>2#1</t>
    </r>
    <r>
      <rPr>
        <sz val="10"/>
        <color indexed="8"/>
        <rFont val="宋体"/>
        <family val="3"/>
        <charset val="134"/>
      </rPr>
      <t>层</t>
    </r>
    <phoneticPr fontId="21" type="noConversion"/>
  </si>
  <si>
    <r>
      <t>2#2</t>
    </r>
    <r>
      <rPr>
        <sz val="10"/>
        <color indexed="8"/>
        <rFont val="宋体"/>
        <family val="3"/>
        <charset val="134"/>
      </rPr>
      <t>层</t>
    </r>
    <phoneticPr fontId="21" type="noConversion"/>
  </si>
  <si>
    <r>
      <t>7#1</t>
    </r>
    <r>
      <rPr>
        <sz val="10"/>
        <color indexed="8"/>
        <rFont val="宋体"/>
        <family val="3"/>
        <charset val="134"/>
      </rPr>
      <t>层</t>
    </r>
    <phoneticPr fontId="21" type="noConversion"/>
  </si>
  <si>
    <r>
      <t>7#2</t>
    </r>
    <r>
      <rPr>
        <sz val="10"/>
        <color indexed="8"/>
        <rFont val="宋体"/>
        <family val="3"/>
        <charset val="134"/>
      </rPr>
      <t>层</t>
    </r>
    <phoneticPr fontId="21" type="noConversion"/>
  </si>
  <si>
    <r>
      <t>8#1</t>
    </r>
    <r>
      <rPr>
        <sz val="10"/>
        <color indexed="8"/>
        <rFont val="宋体"/>
        <family val="3"/>
        <charset val="134"/>
      </rPr>
      <t>层</t>
    </r>
    <phoneticPr fontId="21" type="noConversion"/>
  </si>
  <si>
    <r>
      <t>8#2</t>
    </r>
    <r>
      <rPr>
        <sz val="10"/>
        <color indexed="8"/>
        <rFont val="宋体"/>
        <family val="3"/>
        <charset val="134"/>
      </rPr>
      <t>层</t>
    </r>
    <phoneticPr fontId="21" type="noConversion"/>
  </si>
  <si>
    <r>
      <t>9#1</t>
    </r>
    <r>
      <rPr>
        <sz val="10"/>
        <color indexed="8"/>
        <rFont val="宋体"/>
        <family val="3"/>
        <charset val="134"/>
      </rPr>
      <t>层</t>
    </r>
    <phoneticPr fontId="21" type="noConversion"/>
  </si>
  <si>
    <r>
      <t>9#2</t>
    </r>
    <r>
      <rPr>
        <sz val="10"/>
        <color indexed="8"/>
        <rFont val="宋体"/>
        <family val="3"/>
        <charset val="134"/>
      </rPr>
      <t>层</t>
    </r>
    <phoneticPr fontId="21" type="noConversion"/>
  </si>
  <si>
    <r>
      <t>10#1</t>
    </r>
    <r>
      <rPr>
        <sz val="10"/>
        <color indexed="8"/>
        <rFont val="宋体"/>
        <family val="3"/>
        <charset val="134"/>
      </rPr>
      <t>层</t>
    </r>
    <phoneticPr fontId="21" type="noConversion"/>
  </si>
  <si>
    <t>2层</t>
  </si>
  <si>
    <t>项目局部</t>
  </si>
  <si>
    <t>土地</t>
  </si>
  <si>
    <t>剩余法-待开发</t>
  </si>
  <si>
    <t>比较法-住宅、综合</t>
  </si>
  <si>
    <t>浙金信托</t>
    <phoneticPr fontId="6" type="noConversion"/>
  </si>
  <si>
    <t>《天津市国有建设用地使用权出让合同》[电子监管号：1201012016B02066号]及附件、《建设工程规划许可证》[2017北辰住证0010、0014号]、《预测绘报告》及《御园已售明细》</t>
    <phoneticPr fontId="3" type="noConversion"/>
  </si>
  <si>
    <t>《天津市房地产权证》[津2017北辰区不动产权第1012383号]</t>
    <phoneticPr fontId="3" type="noConversion"/>
  </si>
  <si>
    <t>较规则</t>
  </si>
  <si>
    <r>
      <t>7</t>
    </r>
    <r>
      <rPr>
        <sz val="11"/>
        <color theme="1"/>
        <rFont val="宋体"/>
        <family val="3"/>
        <charset val="134"/>
        <scheme val="minor"/>
      </rPr>
      <t>#商业</t>
    </r>
    <phoneticPr fontId="233" type="noConversion"/>
  </si>
  <si>
    <t>非跃层</t>
    <phoneticPr fontId="233" type="noConversion"/>
  </si>
  <si>
    <t>跃层</t>
    <phoneticPr fontId="233" type="noConversion"/>
  </si>
  <si>
    <t>一层</t>
    <phoneticPr fontId="233" type="noConversion"/>
  </si>
  <si>
    <t>二层</t>
    <phoneticPr fontId="233" type="noConversion"/>
  </si>
  <si>
    <r>
      <t>8</t>
    </r>
    <r>
      <rPr>
        <sz val="11"/>
        <color theme="1"/>
        <rFont val="宋体"/>
        <family val="3"/>
        <charset val="134"/>
        <scheme val="minor"/>
      </rPr>
      <t>#商业</t>
    </r>
    <phoneticPr fontId="233" type="noConversion"/>
  </si>
  <si>
    <r>
      <t>9</t>
    </r>
    <r>
      <rPr>
        <sz val="11"/>
        <color theme="1"/>
        <rFont val="宋体"/>
        <family val="3"/>
        <charset val="134"/>
        <scheme val="minor"/>
      </rPr>
      <t>#商业</t>
    </r>
    <phoneticPr fontId="233" type="noConversion"/>
  </si>
  <si>
    <r>
      <t>1</t>
    </r>
    <r>
      <rPr>
        <sz val="11"/>
        <color theme="1"/>
        <rFont val="宋体"/>
        <family val="3"/>
        <charset val="134"/>
        <scheme val="minor"/>
      </rPr>
      <t>0#商业</t>
    </r>
    <phoneticPr fontId="233" type="noConversion"/>
  </si>
  <si>
    <t>均为1层</t>
    <phoneticPr fontId="233" type="noConversion"/>
  </si>
  <si>
    <t>楼号</t>
  </si>
  <si>
    <t>单元门</t>
  </si>
  <si>
    <t>房号</t>
  </si>
  <si>
    <t>面  积</t>
  </si>
  <si>
    <t>301</t>
  </si>
  <si>
    <t>502</t>
  </si>
  <si>
    <t>602</t>
  </si>
  <si>
    <t>302</t>
  </si>
  <si>
    <t>401</t>
  </si>
  <si>
    <t>402</t>
  </si>
  <si>
    <t>501</t>
  </si>
  <si>
    <t>601</t>
  </si>
  <si>
    <t>201</t>
  </si>
  <si>
    <t>102</t>
    <phoneticPr fontId="233" type="noConversion"/>
  </si>
  <si>
    <t>101</t>
    <phoneticPr fontId="233" type="noConversion"/>
  </si>
  <si>
    <t>502</t>
    <phoneticPr fontId="233" type="noConversion"/>
  </si>
  <si>
    <t>302</t>
    <phoneticPr fontId="233" type="noConversion"/>
  </si>
  <si>
    <t>501</t>
    <phoneticPr fontId="233" type="noConversion"/>
  </si>
  <si>
    <t>202</t>
    <phoneticPr fontId="233" type="noConversion"/>
  </si>
  <si>
    <t>402</t>
    <phoneticPr fontId="233" type="noConversion"/>
  </si>
  <si>
    <t>401</t>
    <phoneticPr fontId="233" type="noConversion"/>
  </si>
  <si>
    <t>201</t>
    <phoneticPr fontId="233" type="noConversion"/>
  </si>
  <si>
    <t>602</t>
    <phoneticPr fontId="233" type="noConversion"/>
  </si>
  <si>
    <t>601</t>
    <phoneticPr fontId="233" type="noConversion"/>
  </si>
  <si>
    <t>18-3-601</t>
  </si>
  <si>
    <t>10</t>
    <phoneticPr fontId="233" type="noConversion"/>
  </si>
  <si>
    <t>1</t>
    <phoneticPr fontId="233" type="noConversion"/>
  </si>
  <si>
    <t>3</t>
    <phoneticPr fontId="233" type="noConversion"/>
  </si>
  <si>
    <t>18</t>
    <phoneticPr fontId="233" type="noConversion"/>
  </si>
  <si>
    <t>2</t>
    <phoneticPr fontId="233" type="noConversion"/>
  </si>
  <si>
    <t>12</t>
    <phoneticPr fontId="233" type="noConversion"/>
  </si>
  <si>
    <t>4</t>
    <phoneticPr fontId="233" type="noConversion"/>
  </si>
  <si>
    <t>301</t>
    <phoneticPr fontId="233" type="noConversion"/>
  </si>
  <si>
    <t>5</t>
    <phoneticPr fontId="233" type="noConversion"/>
  </si>
  <si>
    <t>17</t>
    <phoneticPr fontId="233" type="noConversion"/>
  </si>
  <si>
    <t>10-1-202</t>
  </si>
  <si>
    <t>12-3-601</t>
  </si>
  <si>
    <t>10-5-201</t>
  </si>
  <si>
    <t>10-5-302</t>
  </si>
  <si>
    <t>11</t>
    <phoneticPr fontId="233" type="noConversion"/>
  </si>
  <si>
    <t>11-3-301</t>
  </si>
  <si>
    <t>11-2-402</t>
  </si>
  <si>
    <t>11-1-302</t>
  </si>
  <si>
    <t>11-5-402</t>
  </si>
  <si>
    <t>21</t>
    <phoneticPr fontId="233" type="noConversion"/>
  </si>
  <si>
    <t>21-1-301</t>
  </si>
  <si>
    <t>28</t>
    <phoneticPr fontId="233" type="noConversion"/>
  </si>
  <si>
    <t>28-3-602</t>
  </si>
  <si>
    <t>29</t>
    <phoneticPr fontId="233" type="noConversion"/>
  </si>
  <si>
    <t>1</t>
    <phoneticPr fontId="233" type="noConversion"/>
  </si>
  <si>
    <t>302</t>
    <phoneticPr fontId="233" type="noConversion"/>
  </si>
  <si>
    <t>29-1-302</t>
  </si>
  <si>
    <t>3</t>
    <phoneticPr fontId="233" type="noConversion"/>
  </si>
  <si>
    <t>401</t>
    <phoneticPr fontId="233" type="noConversion"/>
  </si>
  <si>
    <t>29-3-401</t>
  </si>
  <si>
    <t>28</t>
    <phoneticPr fontId="233" type="noConversion"/>
  </si>
  <si>
    <t>602</t>
    <phoneticPr fontId="233" type="noConversion"/>
  </si>
  <si>
    <t>28-1-602</t>
  </si>
  <si>
    <t>502</t>
    <phoneticPr fontId="233" type="noConversion"/>
  </si>
  <si>
    <t>29-3-502</t>
  </si>
  <si>
    <t>201</t>
    <phoneticPr fontId="233" type="noConversion"/>
  </si>
  <si>
    <t>29-3-201</t>
  </si>
  <si>
    <t>30</t>
    <phoneticPr fontId="233" type="noConversion"/>
  </si>
  <si>
    <t>2</t>
    <phoneticPr fontId="233" type="noConversion"/>
  </si>
  <si>
    <t>30-2-502</t>
  </si>
  <si>
    <t>23</t>
    <phoneticPr fontId="233" type="noConversion"/>
  </si>
  <si>
    <t>23-2-502</t>
  </si>
  <si>
    <t>501</t>
    <phoneticPr fontId="233" type="noConversion"/>
  </si>
  <si>
    <t>23-1-501</t>
  </si>
  <si>
    <t>30-1-302</t>
  </si>
  <si>
    <t>25</t>
    <phoneticPr fontId="233" type="noConversion"/>
  </si>
  <si>
    <t>25-1-602</t>
  </si>
  <si>
    <t>24</t>
    <phoneticPr fontId="233" type="noConversion"/>
  </si>
  <si>
    <t>24-2-201</t>
  </si>
  <si>
    <t>301</t>
    <phoneticPr fontId="233" type="noConversion"/>
  </si>
  <si>
    <t>25-2-301</t>
  </si>
  <si>
    <t>24</t>
    <phoneticPr fontId="233" type="noConversion"/>
  </si>
  <si>
    <t>2</t>
    <phoneticPr fontId="233" type="noConversion"/>
  </si>
  <si>
    <t>501</t>
    <phoneticPr fontId="233" type="noConversion"/>
  </si>
  <si>
    <t>24-2-501</t>
  </si>
  <si>
    <t>25</t>
    <phoneticPr fontId="233" type="noConversion"/>
  </si>
  <si>
    <t>1</t>
    <phoneticPr fontId="233" type="noConversion"/>
  </si>
  <si>
    <t>25-1-501</t>
  </si>
  <si>
    <t>11</t>
    <phoneticPr fontId="233" type="noConversion"/>
  </si>
  <si>
    <t>3</t>
    <phoneticPr fontId="233" type="noConversion"/>
  </si>
  <si>
    <t>202</t>
    <phoneticPr fontId="233" type="noConversion"/>
  </si>
  <si>
    <t>11-3-202</t>
  </si>
  <si>
    <t>4</t>
    <phoneticPr fontId="233" type="noConversion"/>
  </si>
  <si>
    <t>302</t>
    <phoneticPr fontId="233" type="noConversion"/>
  </si>
  <si>
    <t>11-4-302</t>
  </si>
  <si>
    <t>25-1-202</t>
  </si>
  <si>
    <t>30</t>
    <phoneticPr fontId="233" type="noConversion"/>
  </si>
  <si>
    <t>702</t>
    <phoneticPr fontId="233" type="noConversion"/>
  </si>
  <si>
    <t>30-1-702</t>
  </si>
  <si>
    <t>28</t>
    <phoneticPr fontId="233" type="noConversion"/>
  </si>
  <si>
    <t>601</t>
    <phoneticPr fontId="233" type="noConversion"/>
  </si>
  <si>
    <t>28-2-601</t>
  </si>
  <si>
    <t>29</t>
    <phoneticPr fontId="233" type="noConversion"/>
  </si>
  <si>
    <t>29-1-601</t>
  </si>
  <si>
    <t>402</t>
    <phoneticPr fontId="233" type="noConversion"/>
  </si>
  <si>
    <t>25-2-402</t>
  </si>
  <si>
    <t>502</t>
    <phoneticPr fontId="233" type="noConversion"/>
  </si>
  <si>
    <t>25-2-502</t>
  </si>
  <si>
    <t>301</t>
    <phoneticPr fontId="233" type="noConversion"/>
  </si>
  <si>
    <t>11-4-301</t>
  </si>
  <si>
    <t>30-1-301</t>
  </si>
  <si>
    <t>28-3-502</t>
  </si>
  <si>
    <t>30-2-301</t>
  </si>
  <si>
    <t>21</t>
    <phoneticPr fontId="233" type="noConversion"/>
  </si>
  <si>
    <t>21-3-202</t>
  </si>
  <si>
    <t>24-2-302</t>
  </si>
  <si>
    <t>25-1-601</t>
  </si>
  <si>
    <t>401</t>
    <phoneticPr fontId="233" type="noConversion"/>
  </si>
  <si>
    <t>11-4-401</t>
  </si>
  <si>
    <t>29-3-302</t>
  </si>
  <si>
    <r>
      <t>1</t>
    </r>
    <r>
      <rPr>
        <sz val="11"/>
        <color theme="1"/>
        <rFont val="宋体"/>
        <family val="3"/>
        <charset val="134"/>
        <scheme val="minor"/>
      </rPr>
      <t>0#新售</t>
    </r>
    <phoneticPr fontId="233" type="noConversion"/>
  </si>
  <si>
    <r>
      <t>1</t>
    </r>
    <r>
      <rPr>
        <sz val="11"/>
        <color theme="1"/>
        <rFont val="宋体"/>
        <family val="3"/>
        <charset val="134"/>
        <scheme val="minor"/>
      </rPr>
      <t>1#新售</t>
    </r>
    <phoneticPr fontId="233" type="noConversion"/>
  </si>
  <si>
    <r>
      <t>1</t>
    </r>
    <r>
      <rPr>
        <sz val="11"/>
        <color theme="1"/>
        <rFont val="宋体"/>
        <family val="3"/>
        <charset val="134"/>
        <scheme val="minor"/>
      </rPr>
      <t>2#新售</t>
    </r>
    <phoneticPr fontId="233" type="noConversion"/>
  </si>
  <si>
    <t>17#新售</t>
    <phoneticPr fontId="233" type="noConversion"/>
  </si>
  <si>
    <t>18#新售</t>
    <phoneticPr fontId="233" type="noConversion"/>
  </si>
  <si>
    <t>洋房最新出售</t>
    <phoneticPr fontId="3"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</si>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</sst>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F400]h:mm:ss\ AM/PM"/>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1"/>
      <color theme="9" tint="-0.249977111117893"/>
      <name val="宋体"/>
      <family val="3"/>
      <charset val="134"/>
    </font>
    <font>
      <b/>
      <sz val="12"/>
      <name val="微软雅黑"/>
      <family val="2"/>
      <charset val="134"/>
    </font>
    <font>
      <sz val="10"/>
      <name val="微软雅黑"/>
      <family val="2"/>
      <charset val="134"/>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9"/>
        <bgColor indexed="64"/>
      </patternFill>
    </fill>
    <fill>
      <patternFill patternType="solid">
        <fgColor theme="3" tint="0.79998168889431442"/>
        <bgColor indexed="64"/>
      </patternFill>
    </fill>
    <fill>
      <patternFill patternType="solid">
        <fgColor theme="5"/>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9966FF"/>
        <bgColor indexed="64"/>
      </patternFill>
    </fill>
    <fill>
      <patternFill patternType="solid">
        <fgColor rgb="FF66FF66"/>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177" fontId="277" fillId="0" borderId="0" applyFont="0" applyFill="0" applyBorder="0" applyAlignment="0" applyProtection="0">
      <alignment vertical="center"/>
    </xf>
    <xf numFmtId="43" fontId="32" fillId="0" borderId="0" applyFont="0" applyFill="0" applyBorder="0" applyAlignment="0" applyProtection="0"/>
  </cellStyleXfs>
  <cellXfs count="36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1" fontId="76" fillId="0" borderId="2" xfId="0" applyNumberFormat="1" applyFont="1" applyBorder="1" applyAlignment="1" applyProtection="1">
      <alignment horizontal="center" vertical="center" wrapText="1"/>
      <protection locked="0"/>
    </xf>
    <xf numFmtId="181"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8"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8" fontId="76" fillId="5" borderId="6" xfId="0" applyNumberFormat="1" applyFont="1" applyFill="1" applyBorder="1" applyAlignment="1" applyProtection="1">
      <alignment horizontal="center" vertical="center" wrapText="1"/>
    </xf>
    <xf numFmtId="178" fontId="76" fillId="5" borderId="7" xfId="0" applyNumberFormat="1" applyFont="1" applyFill="1" applyBorder="1" applyAlignment="1" applyProtection="1">
      <alignment horizontal="center" vertical="center" wrapText="1"/>
    </xf>
    <xf numFmtId="178" fontId="76" fillId="5" borderId="8" xfId="0" applyNumberFormat="1" applyFont="1" applyFill="1" applyBorder="1" applyAlignment="1" applyProtection="1">
      <alignment horizontal="center" vertical="center" wrapText="1"/>
    </xf>
    <xf numFmtId="178" fontId="76" fillId="5" borderId="9" xfId="0" applyNumberFormat="1" applyFont="1" applyFill="1" applyBorder="1" applyAlignment="1" applyProtection="1">
      <alignment horizontal="center" vertical="center" wrapText="1"/>
    </xf>
    <xf numFmtId="178" fontId="76" fillId="5" borderId="10" xfId="0" applyNumberFormat="1" applyFont="1" applyFill="1" applyBorder="1" applyAlignment="1" applyProtection="1">
      <alignment horizontal="center" vertical="center" wrapText="1"/>
    </xf>
    <xf numFmtId="178" fontId="76" fillId="5" borderId="5" xfId="0" applyNumberFormat="1" applyFont="1" applyFill="1" applyBorder="1" applyAlignment="1" applyProtection="1">
      <alignment horizontal="center" vertical="center" wrapText="1"/>
    </xf>
    <xf numFmtId="178" fontId="76" fillId="5" borderId="11" xfId="0" applyNumberFormat="1" applyFont="1" applyFill="1" applyBorder="1" applyAlignment="1" applyProtection="1">
      <alignment horizontal="center" vertical="center" wrapText="1"/>
    </xf>
    <xf numFmtId="178" fontId="76" fillId="5" borderId="12" xfId="0" applyNumberFormat="1" applyFont="1" applyFill="1" applyBorder="1" applyAlignment="1" applyProtection="1">
      <alignment horizontal="center" vertical="center" wrapText="1"/>
    </xf>
    <xf numFmtId="178"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1"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1" fontId="76" fillId="5" borderId="8" xfId="0" applyNumberFormat="1" applyFont="1" applyFill="1" applyBorder="1" applyAlignment="1" applyProtection="1">
      <alignment horizontal="center" vertical="center"/>
    </xf>
    <xf numFmtId="181"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1"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1"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1"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1"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1" fontId="76" fillId="5" borderId="20" xfId="0" applyNumberFormat="1" applyFont="1" applyFill="1" applyBorder="1" applyAlignment="1" applyProtection="1">
      <alignment horizontal="center" vertical="center" wrapText="1"/>
    </xf>
    <xf numFmtId="181" fontId="76" fillId="5" borderId="21" xfId="0" applyNumberFormat="1" applyFont="1" applyFill="1" applyBorder="1" applyAlignment="1" applyProtection="1">
      <alignment horizontal="center" vertical="center" wrapText="1"/>
    </xf>
    <xf numFmtId="181"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1"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8" fontId="76" fillId="0" borderId="21" xfId="0" applyNumberFormat="1" applyFont="1" applyFill="1" applyBorder="1" applyAlignment="1" applyProtection="1">
      <alignment horizontal="center" vertical="center" wrapText="1"/>
      <protection locked="0"/>
    </xf>
    <xf numFmtId="178" fontId="76" fillId="5" borderId="21" xfId="0" applyNumberFormat="1" applyFont="1" applyFill="1" applyBorder="1" applyAlignment="1" applyProtection="1">
      <alignment horizontal="center" vertical="center" wrapText="1"/>
    </xf>
    <xf numFmtId="178"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8" fontId="71" fillId="5" borderId="2" xfId="0" applyNumberFormat="1" applyFont="1" applyFill="1" applyBorder="1" applyAlignment="1" applyProtection="1">
      <alignment horizontal="center" vertical="center" wrapText="1"/>
    </xf>
    <xf numFmtId="178" fontId="71" fillId="0" borderId="21" xfId="0" applyNumberFormat="1" applyFont="1" applyFill="1" applyBorder="1" applyAlignment="1" applyProtection="1">
      <alignment horizontal="center" vertical="center" wrapText="1"/>
      <protection locked="0"/>
    </xf>
    <xf numFmtId="178" fontId="71" fillId="5" borderId="21" xfId="0" applyNumberFormat="1" applyFont="1" applyFill="1" applyBorder="1" applyAlignment="1" applyProtection="1">
      <alignment horizontal="center" vertical="center" wrapText="1"/>
    </xf>
    <xf numFmtId="178" fontId="71" fillId="5" borderId="10" xfId="0" applyNumberFormat="1" applyFont="1" applyFill="1" applyBorder="1" applyAlignment="1" applyProtection="1">
      <alignment horizontal="center" vertical="center" wrapText="1"/>
    </xf>
    <xf numFmtId="178" fontId="71" fillId="0" borderId="2" xfId="0" applyNumberFormat="1" applyFont="1" applyBorder="1" applyAlignment="1" applyProtection="1">
      <alignment vertical="center" wrapText="1"/>
      <protection locked="0"/>
    </xf>
    <xf numFmtId="178" fontId="71" fillId="0" borderId="2" xfId="0" applyNumberFormat="1" applyFont="1" applyBorder="1" applyAlignment="1" applyProtection="1">
      <alignment horizontal="center" vertical="center" wrapText="1"/>
      <protection locked="0"/>
    </xf>
    <xf numFmtId="178"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8" fontId="71" fillId="5" borderId="12" xfId="0" applyNumberFormat="1" applyFont="1" applyFill="1" applyBorder="1" applyAlignment="1" applyProtection="1">
      <alignment horizontal="center" vertical="center" wrapText="1"/>
    </xf>
    <xf numFmtId="178"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8"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8"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8"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8"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8"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8" fontId="83" fillId="5" borderId="29" xfId="2" applyNumberFormat="1" applyFont="1" applyFill="1" applyBorder="1" applyAlignment="1" applyProtection="1">
      <alignment horizontal="center" vertical="center"/>
    </xf>
    <xf numFmtId="178"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1"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8"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9"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9" fontId="71" fillId="0" borderId="9" xfId="2" applyNumberFormat="1" applyFont="1" applyFill="1" applyBorder="1" applyAlignment="1" applyProtection="1">
      <alignment vertical="center"/>
      <protection locked="0"/>
    </xf>
    <xf numFmtId="178"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2"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1"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9"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1"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9" fontId="71" fillId="2" borderId="5" xfId="2" applyNumberFormat="1" applyFont="1" applyFill="1" applyBorder="1" applyAlignment="1" applyProtection="1">
      <alignment vertical="center"/>
      <protection locked="0"/>
    </xf>
    <xf numFmtId="181" fontId="84" fillId="5" borderId="2" xfId="2" applyNumberFormat="1" applyFont="1" applyFill="1" applyBorder="1" applyAlignment="1" applyProtection="1">
      <alignment horizontal="center" vertical="center"/>
    </xf>
    <xf numFmtId="182" fontId="84" fillId="5" borderId="2" xfId="2" applyNumberFormat="1" applyFont="1" applyFill="1" applyBorder="1" applyAlignment="1" applyProtection="1">
      <alignment horizontal="center" vertical="center"/>
    </xf>
    <xf numFmtId="183"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1"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3" fontId="71" fillId="0" borderId="2" xfId="0" applyNumberFormat="1" applyFont="1" applyBorder="1" applyAlignment="1" applyProtection="1">
      <alignment vertical="center"/>
      <protection locked="0"/>
    </xf>
    <xf numFmtId="183"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3"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4"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9"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4"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3"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8"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1"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8" fontId="84" fillId="5" borderId="1" xfId="2" applyNumberFormat="1" applyFont="1" applyFill="1" applyBorder="1" applyAlignment="1" applyProtection="1">
      <alignment vertical="center" wrapText="1"/>
    </xf>
    <xf numFmtId="178" fontId="84" fillId="0" borderId="7" xfId="2" applyNumberFormat="1" applyFont="1" applyFill="1" applyBorder="1" applyAlignment="1" applyProtection="1">
      <alignment horizontal="center" vertical="center"/>
      <protection locked="0"/>
    </xf>
    <xf numFmtId="178" fontId="84" fillId="5" borderId="11" xfId="2" applyNumberFormat="1" applyFont="1" applyFill="1" applyBorder="1" applyAlignment="1" applyProtection="1">
      <alignment vertical="center" wrapText="1"/>
    </xf>
    <xf numFmtId="178" fontId="71" fillId="5" borderId="11" xfId="2" applyNumberFormat="1" applyFont="1" applyFill="1" applyBorder="1" applyAlignment="1" applyProtection="1">
      <alignment vertical="center" wrapText="1"/>
    </xf>
    <xf numFmtId="178" fontId="84" fillId="5" borderId="12" xfId="2" applyNumberFormat="1" applyFont="1" applyFill="1" applyBorder="1" applyAlignment="1" applyProtection="1">
      <alignment horizontal="center" vertical="center"/>
    </xf>
    <xf numFmtId="178" fontId="84" fillId="5" borderId="43" xfId="2" applyNumberFormat="1" applyFont="1" applyFill="1" applyBorder="1" applyAlignment="1" applyProtection="1">
      <alignment vertical="center" wrapText="1"/>
    </xf>
    <xf numFmtId="178"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3" fontId="76" fillId="0" borderId="12" xfId="0" applyNumberFormat="1" applyFont="1" applyFill="1" applyBorder="1" applyAlignment="1" applyProtection="1">
      <alignment horizontal="center" vertical="center"/>
      <protection locked="0"/>
    </xf>
    <xf numFmtId="183"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3"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4"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80"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1"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3"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9"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9"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9"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9"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9"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9"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1"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3"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1"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9"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6" fontId="76" fillId="6" borderId="2" xfId="0" applyNumberFormat="1" applyFont="1" applyFill="1" applyBorder="1" applyAlignment="1" applyProtection="1">
      <alignment horizontal="center" vertical="center" wrapText="1"/>
      <protection locked="0"/>
    </xf>
    <xf numFmtId="186"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6" fontId="76" fillId="0" borderId="2" xfId="0" applyNumberFormat="1" applyFont="1" applyFill="1" applyBorder="1" applyAlignment="1" applyProtection="1">
      <alignment horizontal="center"/>
      <protection locked="0"/>
    </xf>
    <xf numFmtId="186" fontId="76" fillId="0" borderId="12" xfId="0" applyNumberFormat="1" applyFont="1" applyFill="1" applyBorder="1" applyAlignment="1" applyProtection="1">
      <alignment horizontal="center"/>
      <protection locked="0"/>
    </xf>
    <xf numFmtId="178" fontId="152" fillId="5" borderId="2" xfId="0" applyNumberFormat="1" applyFont="1" applyFill="1" applyBorder="1" applyAlignment="1" applyProtection="1">
      <alignment horizontal="center" vertical="center"/>
    </xf>
    <xf numFmtId="178"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6"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9" fontId="76" fillId="5" borderId="2" xfId="0" applyNumberFormat="1" applyFont="1" applyFill="1" applyBorder="1" applyAlignment="1" applyProtection="1">
      <alignment horizontal="center" vertical="center"/>
    </xf>
    <xf numFmtId="181" fontId="76" fillId="5" borderId="2" xfId="2" applyNumberFormat="1" applyFont="1" applyFill="1" applyBorder="1" applyAlignment="1" applyProtection="1">
      <alignment horizontal="center"/>
    </xf>
    <xf numFmtId="183"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alignment horizontal="center"/>
    </xf>
    <xf numFmtId="179"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9" fontId="75" fillId="5" borderId="2" xfId="2" applyNumberFormat="1" applyFont="1" applyFill="1" applyBorder="1" applyAlignment="1" applyProtection="1">
      <alignment horizontal="center"/>
    </xf>
    <xf numFmtId="0" fontId="75" fillId="5" borderId="2" xfId="2" applyFont="1" applyFill="1" applyBorder="1" applyAlignment="1" applyProtection="1"/>
    <xf numFmtId="179"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9" fontId="75" fillId="5" borderId="2" xfId="2" applyNumberFormat="1" applyFont="1" applyFill="1" applyBorder="1" applyAlignment="1" applyProtection="1">
      <alignment vertical="center"/>
    </xf>
    <xf numFmtId="179" fontId="75" fillId="5" borderId="8" xfId="2" applyNumberFormat="1" applyFont="1" applyFill="1" applyBorder="1" applyAlignment="1" applyProtection="1">
      <alignment vertical="center"/>
    </xf>
    <xf numFmtId="179"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7" fontId="76" fillId="5" borderId="2" xfId="0" applyNumberFormat="1" applyFont="1" applyFill="1" applyBorder="1" applyAlignment="1" applyProtection="1">
      <alignment horizontal="center" vertical="center"/>
    </xf>
    <xf numFmtId="179"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7" fontId="75" fillId="5" borderId="2" xfId="0" applyNumberFormat="1" applyFont="1" applyFill="1" applyBorder="1" applyAlignment="1" applyProtection="1">
      <alignment horizontal="right" vertical="center"/>
    </xf>
    <xf numFmtId="179"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9"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6"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3" fontId="156" fillId="5" borderId="2" xfId="0" applyNumberFormat="1" applyFont="1" applyFill="1" applyBorder="1" applyAlignment="1" applyProtection="1">
      <alignment horizontal="center"/>
    </xf>
    <xf numFmtId="187" fontId="156" fillId="5" borderId="2" xfId="0" applyNumberFormat="1" applyFont="1" applyFill="1" applyBorder="1" applyAlignment="1" applyProtection="1">
      <alignment horizontal="center" vertical="center"/>
    </xf>
    <xf numFmtId="179"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9"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9" fontId="101" fillId="5" borderId="14" xfId="0" applyNumberFormat="1" applyFont="1" applyFill="1" applyBorder="1" applyAlignment="1" applyProtection="1">
      <alignment horizontal="center" vertical="center"/>
    </xf>
    <xf numFmtId="179"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6"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9"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5"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5"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5"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6"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6"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6"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3" fontId="84" fillId="5" borderId="5" xfId="0" applyNumberFormat="1" applyFont="1" applyFill="1" applyBorder="1" applyAlignment="1" applyProtection="1">
      <alignment horizontal="center" vertical="center"/>
    </xf>
    <xf numFmtId="183"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8"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6"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9"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1"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1"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9"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9"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9"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9"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9" fontId="86" fillId="5" borderId="2" xfId="2" applyNumberFormat="1" applyFont="1" applyFill="1" applyBorder="1" applyAlignment="1" applyProtection="1">
      <alignment horizontal="center" vertical="center"/>
    </xf>
    <xf numFmtId="179"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9" fontId="113" fillId="5" borderId="2" xfId="2" applyNumberFormat="1" applyFont="1" applyFill="1" applyBorder="1" applyAlignment="1" applyProtection="1">
      <alignment horizontal="center" vertical="center"/>
    </xf>
    <xf numFmtId="179"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1"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9" fontId="95" fillId="5" borderId="44" xfId="2" applyNumberFormat="1" applyFont="1" applyFill="1" applyBorder="1" applyAlignment="1" applyProtection="1">
      <alignment horizontal="center" vertical="center"/>
    </xf>
    <xf numFmtId="181"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9"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3"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3"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3"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1"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3" fontId="76" fillId="5" borderId="51" xfId="0" applyNumberFormat="1" applyFont="1" applyFill="1" applyBorder="1" applyAlignment="1" applyProtection="1">
      <alignment horizontal="center" vertical="center"/>
    </xf>
    <xf numFmtId="183" fontId="85" fillId="5" borderId="10" xfId="0" applyNumberFormat="1" applyFont="1" applyFill="1" applyBorder="1" applyAlignment="1" applyProtection="1">
      <alignment horizontal="center" vertical="center"/>
    </xf>
    <xf numFmtId="183" fontId="76" fillId="5" borderId="12" xfId="0" applyNumberFormat="1" applyFont="1" applyFill="1" applyBorder="1" applyAlignment="1" applyProtection="1">
      <alignment horizontal="center" vertical="center"/>
    </xf>
    <xf numFmtId="183"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4"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1"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1"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3"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6"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3"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3"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3"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9" fontId="71" fillId="5" borderId="57" xfId="0" applyNumberFormat="1" applyFont="1" applyFill="1" applyBorder="1" applyAlignment="1" applyProtection="1">
      <alignment horizontal="center" vertical="center" wrapText="1"/>
    </xf>
    <xf numFmtId="189"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1"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8" fontId="71" fillId="5" borderId="43" xfId="0" applyNumberFormat="1" applyFont="1" applyFill="1" applyBorder="1" applyAlignment="1" applyProtection="1">
      <alignment vertical="center"/>
    </xf>
    <xf numFmtId="178"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1"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1"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1" fontId="40" fillId="5" borderId="2" xfId="5" applyNumberFormat="1" applyFont="1" applyFill="1" applyBorder="1" applyAlignment="1" applyProtection="1">
      <alignment horizontal="center" vertical="center" wrapText="1"/>
    </xf>
    <xf numFmtId="181" fontId="145" fillId="0" borderId="0" xfId="5" applyNumberFormat="1" applyProtection="1">
      <alignment vertical="center"/>
    </xf>
    <xf numFmtId="0" fontId="97" fillId="5" borderId="10" xfId="3" applyFont="1" applyFill="1" applyBorder="1" applyAlignment="1" applyProtection="1">
      <alignment horizontal="right" vertical="center"/>
    </xf>
    <xf numFmtId="181" fontId="84" fillId="5" borderId="2" xfId="3" applyNumberFormat="1" applyFont="1" applyFill="1" applyBorder="1" applyAlignment="1" applyProtection="1">
      <alignment horizontal="center" vertical="center" wrapText="1"/>
    </xf>
    <xf numFmtId="179"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7"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7"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80" fontId="145" fillId="5" borderId="6" xfId="3" applyNumberFormat="1" applyFill="1" applyBorder="1" applyAlignment="1" applyProtection="1">
      <alignment horizontal="center" vertical="center"/>
    </xf>
    <xf numFmtId="180" fontId="145" fillId="5" borderId="29" xfId="3" applyNumberFormat="1" applyFill="1" applyBorder="1" applyAlignment="1" applyProtection="1">
      <alignment horizontal="center" vertical="center"/>
    </xf>
    <xf numFmtId="180"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80" fontId="145" fillId="5" borderId="2" xfId="3" applyNumberFormat="1" applyFill="1" applyBorder="1" applyAlignment="1" applyProtection="1">
      <alignment horizontal="center" vertical="center"/>
    </xf>
    <xf numFmtId="180" fontId="145" fillId="5" borderId="5" xfId="3" applyNumberFormat="1" applyFill="1" applyBorder="1" applyAlignment="1" applyProtection="1">
      <alignment horizontal="center" vertical="center"/>
    </xf>
    <xf numFmtId="180"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80" fontId="145" fillId="5" borderId="45" xfId="3" applyNumberFormat="1" applyFill="1" applyBorder="1" applyAlignment="1" applyProtection="1">
      <alignment horizontal="center" vertical="center"/>
    </xf>
    <xf numFmtId="180" fontId="145" fillId="5" borderId="44" xfId="3" applyNumberFormat="1" applyFill="1" applyBorder="1" applyAlignment="1" applyProtection="1">
      <alignment horizontal="center" vertical="center"/>
    </xf>
    <xf numFmtId="180"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6" fontId="164" fillId="5" borderId="2" xfId="3" applyNumberFormat="1" applyFont="1" applyFill="1" applyBorder="1" applyAlignment="1" applyProtection="1">
      <alignment horizontal="center" vertical="center"/>
    </xf>
    <xf numFmtId="187" fontId="164" fillId="5" borderId="2" xfId="3" applyNumberFormat="1" applyFont="1" applyFill="1" applyBorder="1" applyAlignment="1" applyProtection="1">
      <alignment horizontal="center" vertical="center"/>
    </xf>
    <xf numFmtId="179" fontId="170" fillId="5" borderId="2" xfId="3" applyNumberFormat="1" applyFont="1" applyFill="1" applyBorder="1" applyAlignment="1" applyProtection="1">
      <alignment horizontal="center" vertical="center"/>
    </xf>
    <xf numFmtId="187" fontId="170" fillId="5" borderId="2" xfId="3" applyNumberFormat="1" applyFont="1" applyFill="1" applyBorder="1" applyAlignment="1" applyProtection="1">
      <alignment horizontal="center" vertical="center" wrapText="1"/>
    </xf>
    <xf numFmtId="186" fontId="164" fillId="5" borderId="21" xfId="3" applyNumberFormat="1" applyFont="1" applyFill="1" applyBorder="1" applyAlignment="1" applyProtection="1">
      <alignment horizontal="center" vertical="center" wrapText="1"/>
    </xf>
    <xf numFmtId="181"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8"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1" fontId="76" fillId="5" borderId="0" xfId="0" applyNumberFormat="1" applyFont="1" applyFill="1" applyBorder="1" applyAlignment="1" applyProtection="1">
      <alignment horizontal="center" vertical="center" wrapText="1"/>
    </xf>
    <xf numFmtId="181" fontId="79" fillId="5" borderId="0" xfId="0" applyNumberFormat="1" applyFont="1" applyFill="1" applyBorder="1" applyAlignment="1" applyProtection="1">
      <alignment horizontal="center" vertical="center" wrapText="1"/>
    </xf>
    <xf numFmtId="178"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1"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1"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1"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1"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9"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2"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9" fontId="84" fillId="3" borderId="9" xfId="0" applyNumberFormat="1" applyFont="1" applyFill="1" applyBorder="1" applyAlignment="1" applyProtection="1">
      <alignment horizontal="center" vertical="center"/>
    </xf>
    <xf numFmtId="189" fontId="84" fillId="3" borderId="9" xfId="0" applyNumberFormat="1" applyFont="1" applyFill="1" applyBorder="1" applyAlignment="1" applyProtection="1">
      <alignment horizontal="center" vertical="center" wrapText="1"/>
    </xf>
    <xf numFmtId="189" fontId="84" fillId="3" borderId="2" xfId="0" applyNumberFormat="1" applyFont="1" applyFill="1" applyBorder="1" applyAlignment="1" applyProtection="1">
      <alignment horizontal="center" vertical="center" wrapText="1"/>
    </xf>
    <xf numFmtId="189" fontId="84" fillId="0" borderId="0" xfId="0" applyNumberFormat="1" applyFont="1" applyFill="1" applyAlignment="1" applyProtection="1">
      <alignment horizontal="center" vertical="center"/>
    </xf>
    <xf numFmtId="183"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1" fontId="75" fillId="5" borderId="47" xfId="0" applyNumberFormat="1" applyFont="1" applyFill="1" applyBorder="1" applyAlignment="1" applyProtection="1">
      <alignment vertical="center"/>
    </xf>
    <xf numFmtId="181" fontId="75" fillId="5" borderId="44" xfId="0" applyNumberFormat="1" applyFont="1" applyFill="1" applyBorder="1" applyAlignment="1" applyProtection="1">
      <alignment vertical="center"/>
    </xf>
    <xf numFmtId="181"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3"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7" fontId="86" fillId="5" borderId="3" xfId="3" applyNumberFormat="1" applyFont="1" applyFill="1" applyBorder="1" applyAlignment="1" applyProtection="1">
      <alignment horizontal="center" vertical="center" wrapText="1"/>
    </xf>
    <xf numFmtId="187"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3"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8"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8"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8"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3"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9"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9" fontId="84" fillId="8" borderId="0" xfId="0" applyNumberFormat="1" applyFont="1" applyFill="1" applyAlignment="1" applyProtection="1">
      <alignment horizontal="center" vertical="center"/>
    </xf>
    <xf numFmtId="183" fontId="84" fillId="8" borderId="0" xfId="0" applyNumberFormat="1" applyFont="1" applyFill="1" applyAlignment="1" applyProtection="1">
      <alignment horizontal="center" vertical="center"/>
    </xf>
    <xf numFmtId="179"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9" fontId="84" fillId="5" borderId="16" xfId="0" applyNumberFormat="1" applyFont="1" applyFill="1" applyBorder="1" applyAlignment="1" applyProtection="1">
      <alignment horizontal="center" vertical="center"/>
    </xf>
    <xf numFmtId="189" fontId="84" fillId="5" borderId="16" xfId="0" applyNumberFormat="1" applyFont="1" applyFill="1" applyBorder="1" applyAlignment="1" applyProtection="1">
      <alignment horizontal="center" vertical="center" wrapText="1"/>
    </xf>
    <xf numFmtId="189"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9" fontId="84" fillId="5" borderId="9" xfId="0" applyNumberFormat="1" applyFont="1" applyFill="1" applyBorder="1" applyAlignment="1" applyProtection="1">
      <alignment horizontal="center" vertical="center"/>
    </xf>
    <xf numFmtId="189" fontId="84" fillId="5" borderId="9" xfId="0" applyNumberFormat="1" applyFont="1" applyFill="1" applyBorder="1" applyAlignment="1" applyProtection="1">
      <alignment horizontal="center" vertical="center" wrapText="1"/>
    </xf>
    <xf numFmtId="189"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6"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6" fontId="152" fillId="0" borderId="44" xfId="0" applyNumberFormat="1" applyFont="1" applyFill="1" applyBorder="1" applyAlignment="1" applyProtection="1">
      <alignment horizontal="center"/>
      <protection locked="0"/>
    </xf>
    <xf numFmtId="186" fontId="76" fillId="0" borderId="44" xfId="0" applyNumberFormat="1" applyFont="1" applyFill="1" applyBorder="1" applyAlignment="1" applyProtection="1">
      <alignment horizontal="center"/>
      <protection locked="0"/>
    </xf>
    <xf numFmtId="186" fontId="76" fillId="0" borderId="46" xfId="0" applyNumberFormat="1" applyFont="1" applyFill="1" applyBorder="1" applyAlignment="1" applyProtection="1">
      <alignment horizontal="center"/>
      <protection locked="0"/>
    </xf>
    <xf numFmtId="179" fontId="76" fillId="5" borderId="44" xfId="0" applyNumberFormat="1" applyFont="1" applyFill="1" applyBorder="1" applyAlignment="1" applyProtection="1">
      <alignment horizontal="center" vertical="center" wrapText="1"/>
    </xf>
    <xf numFmtId="187"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9" fontId="78" fillId="6" borderId="2" xfId="2" applyNumberFormat="1" applyFont="1" applyFill="1" applyBorder="1" applyAlignment="1" applyProtection="1">
      <alignment horizontal="center" vertical="center"/>
      <protection locked="0"/>
    </xf>
    <xf numFmtId="181"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5"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3"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1"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5"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80"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7"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80" fontId="106" fillId="5" borderId="12" xfId="0" applyNumberFormat="1" applyFont="1" applyFill="1" applyBorder="1" applyAlignment="1" applyProtection="1">
      <alignment horizontal="center" vertical="center"/>
    </xf>
    <xf numFmtId="180"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80"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9"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9"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8"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1"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1"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1"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1"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1"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9"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6"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9" fontId="101" fillId="5" borderId="0" xfId="0" applyNumberFormat="1" applyFont="1" applyFill="1" applyBorder="1" applyAlignment="1" applyProtection="1">
      <alignment horizontal="center" vertical="center"/>
      <protection locked="0"/>
    </xf>
    <xf numFmtId="183"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3"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3"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3"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3"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9" fontId="84" fillId="5" borderId="0" xfId="0" applyNumberFormat="1" applyFont="1" applyFill="1" applyAlignment="1" applyProtection="1">
      <alignment horizontal="center" vertical="center"/>
      <protection locked="0"/>
    </xf>
    <xf numFmtId="183" fontId="84" fillId="5" borderId="0" xfId="0" applyNumberFormat="1" applyFont="1" applyFill="1" applyAlignment="1" applyProtection="1">
      <alignment horizontal="center" vertical="center"/>
      <protection locked="0"/>
    </xf>
    <xf numFmtId="178" fontId="84" fillId="5" borderId="0" xfId="0" applyNumberFormat="1" applyFont="1" applyFill="1" applyAlignment="1" applyProtection="1">
      <alignment horizontal="center" vertical="center"/>
      <protection locked="0"/>
    </xf>
    <xf numFmtId="189" fontId="105" fillId="5" borderId="0" xfId="0" applyNumberFormat="1" applyFont="1" applyFill="1" applyAlignment="1" applyProtection="1">
      <alignment horizontal="center" vertical="center"/>
      <protection locked="0"/>
    </xf>
    <xf numFmtId="183"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9" fontId="84" fillId="8" borderId="0" xfId="0" applyNumberFormat="1" applyFont="1" applyFill="1" applyAlignment="1" applyProtection="1">
      <alignment horizontal="center" vertical="center"/>
      <protection locked="0"/>
    </xf>
    <xf numFmtId="183"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9" fontId="84" fillId="0" borderId="0" xfId="0" applyNumberFormat="1" applyFont="1" applyFill="1" applyAlignment="1" applyProtection="1">
      <alignment horizontal="center" vertical="center"/>
      <protection locked="0"/>
    </xf>
    <xf numFmtId="183"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9" fontId="97" fillId="5" borderId="0" xfId="0" applyNumberFormat="1" applyFont="1" applyFill="1" applyBorder="1" applyAlignment="1" applyProtection="1">
      <alignment horizontal="center" vertical="center"/>
      <protection locked="0"/>
    </xf>
    <xf numFmtId="183"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9" fontId="84" fillId="5" borderId="0" xfId="0" applyNumberFormat="1" applyFont="1" applyFill="1" applyBorder="1" applyAlignment="1" applyProtection="1">
      <alignment horizontal="center"/>
      <protection locked="0"/>
    </xf>
    <xf numFmtId="183"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8" fontId="71" fillId="5" borderId="2" xfId="0" applyNumberFormat="1" applyFont="1" applyFill="1" applyBorder="1" applyProtection="1">
      <alignment vertical="center"/>
    </xf>
    <xf numFmtId="179" fontId="130" fillId="5" borderId="11" xfId="2" applyNumberFormat="1" applyFont="1" applyFill="1" applyBorder="1" applyAlignment="1" applyProtection="1">
      <alignment horizontal="left" vertical="center"/>
    </xf>
    <xf numFmtId="179"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9" fontId="71" fillId="5" borderId="2" xfId="2" applyNumberFormat="1" applyFont="1" applyFill="1" applyBorder="1" applyAlignment="1" applyProtection="1">
      <alignment vertical="center"/>
    </xf>
    <xf numFmtId="179" fontId="71" fillId="5" borderId="5" xfId="2" applyNumberFormat="1" applyFont="1" applyFill="1" applyBorder="1" applyAlignment="1" applyProtection="1">
      <alignment vertical="center"/>
    </xf>
    <xf numFmtId="179" fontId="71" fillId="5" borderId="11" xfId="2"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183" fontId="80" fillId="5" borderId="2" xfId="0" applyNumberFormat="1" applyFont="1" applyFill="1" applyBorder="1" applyAlignment="1" applyProtection="1">
      <alignment horizontal="center" vertical="center"/>
    </xf>
    <xf numFmtId="181" fontId="71" fillId="5" borderId="43" xfId="2" applyNumberFormat="1" applyFont="1" applyFill="1" applyBorder="1" applyAlignment="1" applyProtection="1">
      <alignment horizontal="center" vertical="center"/>
    </xf>
    <xf numFmtId="179"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9"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vertical="center"/>
    </xf>
    <xf numFmtId="183" fontId="71" fillId="5" borderId="5" xfId="0" applyNumberFormat="1" applyFont="1" applyFill="1" applyBorder="1" applyAlignment="1" applyProtection="1">
      <alignment vertical="center"/>
    </xf>
    <xf numFmtId="183" fontId="71" fillId="5" borderId="12" xfId="0" applyNumberFormat="1" applyFont="1" applyFill="1" applyBorder="1" applyAlignment="1" applyProtection="1">
      <alignment vertical="center"/>
    </xf>
    <xf numFmtId="183" fontId="71" fillId="5" borderId="2" xfId="0" applyNumberFormat="1" applyFont="1" applyFill="1" applyBorder="1" applyAlignment="1" applyProtection="1">
      <alignment horizontal="center" vertical="center"/>
    </xf>
    <xf numFmtId="183"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3"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9"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5"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5" fontId="214" fillId="0" borderId="2" xfId="7" applyNumberFormat="1" applyFont="1" applyFill="1" applyBorder="1" applyAlignment="1">
      <alignment horizontal="right" vertical="center"/>
    </xf>
    <xf numFmtId="185"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5"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8"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3"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4"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3"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4"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4"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1"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9"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3"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9"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9"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9"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9"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3"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3"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3"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3" fontId="85" fillId="5" borderId="90" xfId="0" applyNumberFormat="1" applyFont="1" applyFill="1" applyBorder="1" applyAlignment="1" applyProtection="1">
      <alignment horizontal="center" vertical="center"/>
    </xf>
    <xf numFmtId="183"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3"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6" fontId="157" fillId="12" borderId="120" xfId="10" applyNumberFormat="1" applyFont="1" applyFill="1" applyBorder="1" applyAlignment="1">
      <alignment horizontal="center" vertical="center" wrapText="1"/>
    </xf>
    <xf numFmtId="186"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9" fontId="152" fillId="0" borderId="0" xfId="10" applyNumberFormat="1" applyFont="1">
      <alignment vertical="center"/>
    </xf>
    <xf numFmtId="183" fontId="152" fillId="0" borderId="122" xfId="10" applyNumberFormat="1" applyFont="1" applyBorder="1">
      <alignment vertical="center"/>
    </xf>
    <xf numFmtId="183" fontId="152" fillId="0" borderId="0" xfId="10" applyNumberFormat="1" applyFont="1">
      <alignment vertical="center"/>
    </xf>
    <xf numFmtId="186"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6" fontId="157" fillId="12" borderId="124" xfId="10" applyNumberFormat="1" applyFont="1" applyFill="1" applyBorder="1" applyAlignment="1">
      <alignment horizontal="center" vertical="center" wrapText="1"/>
    </xf>
    <xf numFmtId="186"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6"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9"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6" fontId="157" fillId="12" borderId="130" xfId="10" applyNumberFormat="1" applyFont="1" applyFill="1" applyBorder="1" applyAlignment="1">
      <alignment horizontal="center" vertical="center" wrapText="1"/>
    </xf>
    <xf numFmtId="186" fontId="157" fillId="12" borderId="134" xfId="10" applyNumberFormat="1" applyFont="1" applyFill="1" applyBorder="1" applyAlignment="1">
      <alignment horizontal="center" vertical="center" wrapText="1"/>
    </xf>
    <xf numFmtId="186" fontId="152" fillId="14" borderId="0" xfId="10" applyNumberFormat="1" applyFont="1" applyFill="1" applyAlignment="1">
      <alignment horizontal="center" vertical="center"/>
    </xf>
    <xf numFmtId="186"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9"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80"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80"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2" fontId="152" fillId="0" borderId="0" xfId="10" applyNumberFormat="1" applyFont="1" applyAlignment="1">
      <alignment horizontal="center" vertical="center"/>
    </xf>
    <xf numFmtId="182" fontId="152" fillId="0" borderId="122" xfId="10" applyNumberFormat="1" applyFont="1" applyBorder="1" applyAlignment="1">
      <alignment horizontal="center" vertical="center"/>
    </xf>
    <xf numFmtId="179"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9"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2" fontId="152" fillId="6" borderId="0" xfId="10" applyNumberFormat="1" applyFont="1" applyFill="1" applyAlignment="1">
      <alignment horizontal="center" vertical="center"/>
    </xf>
    <xf numFmtId="0" fontId="152" fillId="6" borderId="122" xfId="10" applyFont="1" applyFill="1" applyBorder="1">
      <alignment vertical="center"/>
    </xf>
    <xf numFmtId="180"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2" fontId="158" fillId="0" borderId="0" xfId="10" applyNumberFormat="1" applyFont="1" applyAlignment="1">
      <alignment horizontal="center" vertical="center"/>
    </xf>
    <xf numFmtId="182"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7"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3"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80"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6"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8"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90"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9"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6"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6" fontId="76" fillId="0" borderId="2" xfId="0" applyNumberFormat="1" applyFont="1" applyFill="1" applyBorder="1" applyAlignment="1" applyProtection="1">
      <alignment horizontal="center" vertical="center"/>
      <protection locked="0"/>
    </xf>
    <xf numFmtId="186"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6" fontId="76" fillId="0" borderId="44" xfId="0" applyNumberFormat="1" applyFont="1" applyFill="1" applyBorder="1" applyAlignment="1" applyProtection="1">
      <alignment horizontal="center" vertical="center"/>
      <protection locked="0"/>
    </xf>
    <xf numFmtId="186"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3"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9"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7" fontId="76" fillId="5" borderId="9" xfId="0"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9" fontId="76" fillId="5" borderId="56" xfId="2" applyNumberFormat="1" applyFont="1" applyFill="1" applyBorder="1" applyAlignment="1" applyProtection="1">
      <alignment vertical="center"/>
    </xf>
    <xf numFmtId="186"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5"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2"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5"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1"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6" fontId="152" fillId="5" borderId="2" xfId="3" applyNumberFormat="1" applyFont="1" applyFill="1" applyBorder="1" applyAlignment="1" applyProtection="1">
      <alignment horizontal="center" vertical="center"/>
    </xf>
    <xf numFmtId="179" fontId="158" fillId="5" borderId="2" xfId="3" applyNumberFormat="1" applyFont="1" applyFill="1" applyBorder="1" applyAlignment="1" applyProtection="1">
      <alignment horizontal="center" vertical="center"/>
    </xf>
    <xf numFmtId="187"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9"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5"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1"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2" fontId="214" fillId="0" borderId="2" xfId="7" applyNumberFormat="1" applyFont="1" applyFill="1" applyBorder="1" applyAlignment="1">
      <alignment horizontal="right" vertical="center"/>
    </xf>
    <xf numFmtId="185" fontId="214" fillId="0" borderId="2" xfId="7" applyNumberFormat="1" applyFont="1" applyFill="1" applyBorder="1" applyAlignment="1">
      <alignment horizontal="center" vertical="center"/>
    </xf>
    <xf numFmtId="192"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8"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8" fontId="11" fillId="0" borderId="2" xfId="0" applyNumberFormat="1" applyFont="1" applyBorder="1" applyAlignment="1" applyProtection="1">
      <alignment horizontal="center" vertical="center" wrapText="1"/>
      <protection locked="0"/>
    </xf>
    <xf numFmtId="178"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9" fontId="11" fillId="0" borderId="2" xfId="2" applyNumberFormat="1" applyFont="1" applyFill="1" applyBorder="1" applyAlignment="1" applyProtection="1">
      <alignment vertical="center"/>
      <protection locked="0" hidden="1"/>
    </xf>
    <xf numFmtId="183" fontId="152" fillId="0" borderId="2" xfId="0" applyNumberFormat="1" applyFont="1" applyFill="1" applyBorder="1" applyAlignment="1" applyProtection="1">
      <alignment horizontal="center" vertical="center"/>
      <protection locked="0"/>
    </xf>
    <xf numFmtId="179"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6"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3"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3"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3"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1"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9" fontId="158" fillId="0" borderId="2" xfId="3" applyNumberFormat="1" applyFont="1" applyFill="1" applyBorder="1" applyAlignment="1" applyProtection="1">
      <alignment horizontal="center" vertical="center"/>
      <protection locked="0"/>
    </xf>
    <xf numFmtId="183"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3"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3"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3" fontId="106" fillId="5" borderId="6" xfId="0" applyNumberFormat="1" applyFont="1" applyFill="1" applyBorder="1" applyAlignment="1" applyProtection="1">
      <alignment horizontal="center" vertical="center"/>
      <protection locked="0"/>
    </xf>
    <xf numFmtId="183"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6" fontId="157" fillId="12" borderId="120" xfId="13" applyNumberFormat="1" applyFont="1" applyFill="1" applyBorder="1" applyAlignment="1">
      <alignment horizontal="center" vertical="center" wrapText="1"/>
    </xf>
    <xf numFmtId="186" fontId="157" fillId="12" borderId="127" xfId="13" applyNumberFormat="1" applyFont="1" applyFill="1" applyBorder="1" applyAlignment="1">
      <alignment horizontal="center" vertical="center" wrapText="1"/>
    </xf>
    <xf numFmtId="0" fontId="78" fillId="8" borderId="8" xfId="0" applyFont="1" applyFill="1" applyBorder="1" applyAlignment="1" applyProtection="1">
      <alignment vertical="center"/>
      <protection locked="0"/>
    </xf>
    <xf numFmtId="177" fontId="0" fillId="0" borderId="0" xfId="15" applyFont="1" applyAlignment="1"/>
    <xf numFmtId="0" fontId="145" fillId="0" borderId="0" xfId="0" applyFont="1">
      <alignment vertical="center"/>
    </xf>
    <xf numFmtId="178" fontId="148" fillId="0" borderId="2" xfId="1" applyNumberFormat="1" applyFont="1" applyFill="1" applyBorder="1" applyAlignment="1" applyProtection="1">
      <alignment horizontal="center" vertical="center" wrapText="1"/>
      <protection locked="0"/>
    </xf>
    <xf numFmtId="181" fontId="0" fillId="0" borderId="0" xfId="0" applyNumberFormat="1">
      <alignment vertical="center"/>
    </xf>
    <xf numFmtId="0" fontId="145" fillId="0" borderId="0" xfId="0" applyFont="1" applyAlignment="1"/>
    <xf numFmtId="0" fontId="0" fillId="6" borderId="0" xfId="0" applyFill="1" applyAlignment="1"/>
    <xf numFmtId="0" fontId="0" fillId="6" borderId="0" xfId="0" applyFill="1">
      <alignment vertical="center"/>
    </xf>
    <xf numFmtId="0" fontId="145" fillId="6" borderId="2" xfId="0" applyFont="1" applyFill="1" applyBorder="1">
      <alignment vertical="center"/>
    </xf>
    <xf numFmtId="181" fontId="0" fillId="6" borderId="2" xfId="0" applyNumberFormat="1" applyFill="1" applyBorder="1">
      <alignment vertical="center"/>
    </xf>
    <xf numFmtId="0" fontId="0" fillId="6" borderId="2" xfId="0" applyFill="1" applyBorder="1">
      <alignment vertical="center"/>
    </xf>
    <xf numFmtId="0" fontId="145" fillId="9" borderId="2" xfId="0" applyFont="1" applyFill="1" applyBorder="1">
      <alignment vertical="center"/>
    </xf>
    <xf numFmtId="181" fontId="0" fillId="9" borderId="2" xfId="0" applyNumberFormat="1" applyFill="1" applyBorder="1">
      <alignment vertical="center"/>
    </xf>
    <xf numFmtId="0" fontId="0" fillId="9" borderId="2" xfId="0" applyFill="1" applyBorder="1">
      <alignment vertical="center"/>
    </xf>
    <xf numFmtId="0" fontId="145" fillId="17" borderId="2" xfId="0" applyFont="1" applyFill="1" applyBorder="1">
      <alignment vertical="center"/>
    </xf>
    <xf numFmtId="0" fontId="0" fillId="17" borderId="2" xfId="0" applyFill="1" applyBorder="1">
      <alignment vertical="center"/>
    </xf>
    <xf numFmtId="0" fontId="145" fillId="7" borderId="2" xfId="0" applyFont="1" applyFill="1" applyBorder="1">
      <alignment vertical="center"/>
    </xf>
    <xf numFmtId="181" fontId="0" fillId="7" borderId="2" xfId="0" applyNumberFormat="1" applyFill="1" applyBorder="1">
      <alignment vertical="center"/>
    </xf>
    <xf numFmtId="0" fontId="0" fillId="7" borderId="2" xfId="0" applyFill="1" applyBorder="1">
      <alignment vertical="center"/>
    </xf>
    <xf numFmtId="0" fontId="145" fillId="18" borderId="2" xfId="0" applyFont="1" applyFill="1" applyBorder="1">
      <alignment vertical="center"/>
    </xf>
    <xf numFmtId="181" fontId="0" fillId="18" borderId="2" xfId="0" applyNumberFormat="1" applyFill="1" applyBorder="1">
      <alignment vertical="center"/>
    </xf>
    <xf numFmtId="0" fontId="0" fillId="18" borderId="2" xfId="0" applyFill="1" applyBorder="1">
      <alignment vertical="center"/>
    </xf>
    <xf numFmtId="0" fontId="145" fillId="19" borderId="2" xfId="0" applyFont="1" applyFill="1" applyBorder="1">
      <alignment vertical="center"/>
    </xf>
    <xf numFmtId="181" fontId="0" fillId="19" borderId="2" xfId="0" applyNumberFormat="1" applyFill="1" applyBorder="1">
      <alignment vertical="center"/>
    </xf>
    <xf numFmtId="0" fontId="0" fillId="19" borderId="2" xfId="0" applyFill="1" applyBorder="1">
      <alignment vertical="center"/>
    </xf>
    <xf numFmtId="0" fontId="145" fillId="20" borderId="2" xfId="0" applyFont="1" applyFill="1" applyBorder="1">
      <alignment vertical="center"/>
    </xf>
    <xf numFmtId="0" fontId="0" fillId="20" borderId="2" xfId="0" applyFill="1" applyBorder="1">
      <alignment vertical="center"/>
    </xf>
    <xf numFmtId="0" fontId="145" fillId="21" borderId="2" xfId="0" applyFont="1" applyFill="1" applyBorder="1">
      <alignment vertical="center"/>
    </xf>
    <xf numFmtId="181" fontId="0" fillId="21" borderId="2" xfId="0" applyNumberFormat="1" applyFill="1" applyBorder="1">
      <alignment vertical="center"/>
    </xf>
    <xf numFmtId="0" fontId="0" fillId="21" borderId="2" xfId="0" applyFill="1" applyBorder="1">
      <alignment vertical="center"/>
    </xf>
    <xf numFmtId="0" fontId="145" fillId="0" borderId="2" xfId="0" applyFont="1" applyFill="1" applyBorder="1">
      <alignment vertical="center"/>
    </xf>
    <xf numFmtId="0" fontId="145" fillId="14" borderId="2" xfId="0" applyFont="1" applyFill="1" applyBorder="1">
      <alignment vertical="center"/>
    </xf>
    <xf numFmtId="181" fontId="0" fillId="14" borderId="2" xfId="0" applyNumberFormat="1" applyFill="1" applyBorder="1">
      <alignment vertical="center"/>
    </xf>
    <xf numFmtId="0" fontId="0" fillId="14" borderId="2" xfId="0" applyFill="1" applyBorder="1">
      <alignment vertical="center"/>
    </xf>
    <xf numFmtId="0" fontId="0" fillId="0" borderId="0" xfId="0" applyFill="1">
      <alignment vertical="center"/>
    </xf>
    <xf numFmtId="0" fontId="0" fillId="0" borderId="2" xfId="0" applyFill="1" applyBorder="1">
      <alignment vertical="center"/>
    </xf>
    <xf numFmtId="0" fontId="145" fillId="22" borderId="2" xfId="0" applyFont="1" applyFill="1" applyBorder="1">
      <alignment vertical="center"/>
    </xf>
    <xf numFmtId="0" fontId="0" fillId="22" borderId="2" xfId="0" applyFill="1" applyBorder="1">
      <alignment vertical="center"/>
    </xf>
    <xf numFmtId="0" fontId="145" fillId="23" borderId="2" xfId="0" applyFont="1" applyFill="1" applyBorder="1">
      <alignment vertical="center"/>
    </xf>
    <xf numFmtId="181" fontId="0" fillId="23" borderId="2" xfId="0" applyNumberFormat="1" applyFill="1" applyBorder="1">
      <alignment vertical="center"/>
    </xf>
    <xf numFmtId="0" fontId="0" fillId="23" borderId="2" xfId="0" applyFill="1" applyBorder="1">
      <alignment vertical="center"/>
    </xf>
    <xf numFmtId="0" fontId="145" fillId="24" borderId="2" xfId="0" applyFont="1" applyFill="1" applyBorder="1">
      <alignment vertical="center"/>
    </xf>
    <xf numFmtId="181" fontId="0" fillId="24" borderId="2" xfId="0" applyNumberFormat="1" applyFill="1" applyBorder="1">
      <alignment vertical="center"/>
    </xf>
    <xf numFmtId="0" fontId="0" fillId="24" borderId="2" xfId="0" applyFill="1" applyBorder="1">
      <alignment vertical="center"/>
    </xf>
    <xf numFmtId="0" fontId="145" fillId="25" borderId="2" xfId="0" applyFont="1" applyFill="1" applyBorder="1">
      <alignment vertical="center"/>
    </xf>
    <xf numFmtId="0" fontId="0" fillId="25" borderId="2" xfId="0" applyFill="1" applyBorder="1">
      <alignment vertical="center"/>
    </xf>
    <xf numFmtId="0" fontId="145" fillId="7" borderId="2" xfId="0" applyFont="1" applyFill="1" applyBorder="1" applyAlignment="1">
      <alignment vertical="center" wrapText="1"/>
    </xf>
    <xf numFmtId="179" fontId="81" fillId="0" borderId="2" xfId="2" applyNumberFormat="1" applyFont="1" applyFill="1" applyBorder="1" applyAlignment="1" applyProtection="1">
      <alignment vertical="center"/>
      <protection locked="0"/>
    </xf>
    <xf numFmtId="0" fontId="86" fillId="6" borderId="51" xfId="2" applyNumberFormat="1"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76" fillId="9" borderId="0" xfId="0"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82" fillId="9" borderId="0" xfId="0" applyFont="1" applyFill="1" applyAlignment="1" applyProtection="1">
      <alignment vertical="center"/>
      <protection locked="0"/>
    </xf>
    <xf numFmtId="0" fontId="76" fillId="9" borderId="0" xfId="0" applyFont="1" applyFill="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0" fillId="9" borderId="0" xfId="0" applyFill="1" applyAlignment="1"/>
    <xf numFmtId="0" fontId="0" fillId="9" borderId="0" xfId="0" applyFill="1">
      <alignment vertical="center"/>
    </xf>
    <xf numFmtId="0" fontId="127" fillId="9" borderId="0" xfId="0" applyFont="1" applyFill="1" applyAlignment="1"/>
    <xf numFmtId="0" fontId="0" fillId="0"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181" fontId="0" fillId="0" borderId="0" xfId="0" applyNumberFormat="1" applyFill="1">
      <alignment vertical="center"/>
    </xf>
    <xf numFmtId="178" fontId="71" fillId="26" borderId="12" xfId="2" applyNumberFormat="1" applyFont="1" applyFill="1" applyBorder="1" applyAlignment="1" applyProtection="1">
      <alignment horizontal="center" vertical="center"/>
      <protection locked="0"/>
    </xf>
    <xf numFmtId="0" fontId="71" fillId="26" borderId="12" xfId="0" applyFont="1" applyFill="1" applyBorder="1" applyAlignment="1" applyProtection="1">
      <alignment vertical="center"/>
      <protection locked="0"/>
    </xf>
    <xf numFmtId="0" fontId="86" fillId="26" borderId="46" xfId="2" applyNumberFormat="1" applyFont="1" applyFill="1" applyBorder="1" applyAlignment="1" applyProtection="1">
      <alignment horizontal="center" vertical="center"/>
      <protection locked="0"/>
    </xf>
    <xf numFmtId="49" fontId="84" fillId="26" borderId="11" xfId="0" applyNumberFormat="1" applyFont="1" applyFill="1" applyBorder="1" applyAlignment="1" applyProtection="1">
      <alignment horizontal="center" vertical="center" wrapText="1"/>
      <protection locked="0"/>
    </xf>
    <xf numFmtId="0" fontId="76" fillId="26" borderId="2" xfId="0" applyFont="1" applyFill="1" applyBorder="1" applyProtection="1">
      <alignment vertical="center"/>
      <protection locked="0"/>
    </xf>
    <xf numFmtId="177" fontId="0" fillId="0" borderId="0" xfId="0" applyNumberFormat="1">
      <alignment vertical="center"/>
    </xf>
    <xf numFmtId="186" fontId="76" fillId="6" borderId="2" xfId="0" applyNumberFormat="1" applyFont="1" applyFill="1" applyBorder="1" applyAlignment="1" applyProtection="1">
      <alignment horizontal="center" vertical="center"/>
      <protection locked="0"/>
    </xf>
    <xf numFmtId="0" fontId="75" fillId="6" borderId="2" xfId="0" applyFont="1" applyFill="1" applyBorder="1" applyAlignment="1" applyProtection="1">
      <alignment horizontal="center" vertical="center"/>
    </xf>
    <xf numFmtId="0" fontId="86" fillId="6" borderId="25" xfId="2" applyNumberFormat="1" applyFont="1" applyFill="1" applyBorder="1" applyAlignment="1" applyProtection="1">
      <alignment horizontal="center" vertical="center"/>
      <protection locked="0"/>
    </xf>
    <xf numFmtId="177" fontId="232" fillId="0" borderId="0" xfId="15" applyFont="1" applyFill="1" applyAlignment="1">
      <alignment horizontal="center" vertical="center"/>
    </xf>
    <xf numFmtId="43" fontId="232" fillId="17" borderId="0" xfId="16" applyFont="1" applyFill="1" applyAlignment="1">
      <alignment horizontal="center" vertical="center"/>
    </xf>
    <xf numFmtId="196" fontId="279" fillId="0" borderId="2" xfId="0" applyNumberFormat="1" applyFont="1" applyFill="1" applyBorder="1" applyAlignment="1" applyProtection="1">
      <alignment horizontal="center" vertical="center" wrapText="1"/>
      <protection locked="0"/>
    </xf>
    <xf numFmtId="177" fontId="279" fillId="0" borderId="2" xfId="15" applyFont="1" applyFill="1" applyBorder="1" applyAlignment="1" applyProtection="1">
      <alignment horizontal="center" vertical="center" wrapText="1"/>
      <protection locked="0"/>
    </xf>
    <xf numFmtId="178" fontId="279" fillId="0" borderId="2" xfId="0" applyNumberFormat="1" applyFont="1" applyFill="1" applyBorder="1" applyAlignment="1" applyProtection="1">
      <alignment horizontal="center" vertical="center"/>
      <protection locked="0"/>
    </xf>
    <xf numFmtId="43" fontId="280" fillId="8" borderId="2" xfId="16" applyFont="1" applyFill="1" applyBorder="1" applyAlignment="1" applyProtection="1">
      <alignment horizontal="center" vertical="center" wrapText="1"/>
      <protection locked="0"/>
    </xf>
    <xf numFmtId="178" fontId="280" fillId="0" borderId="2" xfId="0" applyNumberFormat="1" applyFont="1" applyFill="1" applyBorder="1" applyAlignment="1" applyProtection="1">
      <alignment horizontal="center" vertical="center"/>
      <protection locked="0"/>
    </xf>
    <xf numFmtId="49" fontId="280" fillId="0" borderId="2" xfId="0" applyNumberFormat="1" applyFont="1" applyFill="1" applyBorder="1" applyAlignment="1" applyProtection="1">
      <alignment horizontal="center" vertical="center"/>
      <protection locked="0"/>
    </xf>
    <xf numFmtId="186" fontId="280" fillId="6" borderId="2" xfId="0" applyNumberFormat="1" applyFont="1" applyFill="1" applyBorder="1" applyAlignment="1" applyProtection="1">
      <alignment horizontal="center" vertical="center" wrapText="1"/>
      <protection locked="0"/>
    </xf>
    <xf numFmtId="49" fontId="280" fillId="6" borderId="2" xfId="0" applyNumberFormat="1" applyFont="1" applyFill="1" applyBorder="1" applyAlignment="1" applyProtection="1">
      <alignment horizontal="center" vertical="center" wrapText="1"/>
      <protection locked="0"/>
    </xf>
    <xf numFmtId="43" fontId="280" fillId="6" borderId="2" xfId="16" applyFont="1" applyFill="1" applyBorder="1" applyAlignment="1" applyProtection="1">
      <alignment horizontal="center" vertical="center" wrapText="1"/>
      <protection locked="0"/>
    </xf>
    <xf numFmtId="178" fontId="280" fillId="6" borderId="2" xfId="0" applyNumberFormat="1" applyFont="1" applyFill="1" applyBorder="1" applyAlignment="1" applyProtection="1">
      <alignment horizontal="center" vertical="center"/>
      <protection locked="0"/>
    </xf>
    <xf numFmtId="186" fontId="280" fillId="7" borderId="2" xfId="0" applyNumberFormat="1" applyFont="1" applyFill="1" applyBorder="1" applyAlignment="1" applyProtection="1">
      <alignment horizontal="center" vertical="center" wrapText="1"/>
      <protection locked="0"/>
    </xf>
    <xf numFmtId="49" fontId="280" fillId="7" borderId="2" xfId="0" applyNumberFormat="1" applyFont="1" applyFill="1" applyBorder="1" applyAlignment="1" applyProtection="1">
      <alignment horizontal="center" vertical="center" wrapText="1"/>
      <protection locked="0"/>
    </xf>
    <xf numFmtId="43" fontId="280" fillId="7" borderId="2" xfId="16" applyFont="1" applyFill="1" applyBorder="1" applyAlignment="1" applyProtection="1">
      <alignment horizontal="center" vertical="center" wrapText="1"/>
      <protection locked="0"/>
    </xf>
    <xf numFmtId="178" fontId="280" fillId="7" borderId="2" xfId="0" applyNumberFormat="1" applyFont="1" applyFill="1" applyBorder="1" applyAlignment="1" applyProtection="1">
      <alignment horizontal="center" vertical="center"/>
      <protection locked="0"/>
    </xf>
    <xf numFmtId="186" fontId="280" fillId="17" borderId="2" xfId="0" applyNumberFormat="1" applyFont="1" applyFill="1" applyBorder="1" applyAlignment="1" applyProtection="1">
      <alignment horizontal="center" vertical="center" wrapText="1"/>
      <protection locked="0"/>
    </xf>
    <xf numFmtId="49" fontId="280" fillId="17" borderId="2" xfId="0" applyNumberFormat="1" applyFont="1" applyFill="1" applyBorder="1" applyAlignment="1" applyProtection="1">
      <alignment horizontal="center" vertical="center" wrapText="1"/>
      <protection locked="0"/>
    </xf>
    <xf numFmtId="43" fontId="280" fillId="17" borderId="2" xfId="16" applyFont="1" applyFill="1" applyBorder="1" applyAlignment="1" applyProtection="1">
      <alignment horizontal="center" vertical="center" wrapText="1"/>
      <protection locked="0"/>
    </xf>
    <xf numFmtId="178" fontId="280" fillId="17" borderId="2" xfId="0" applyNumberFormat="1" applyFont="1" applyFill="1" applyBorder="1" applyAlignment="1" applyProtection="1">
      <alignment horizontal="center" vertical="center"/>
      <protection locked="0"/>
    </xf>
    <xf numFmtId="186" fontId="280" fillId="9" borderId="2" xfId="0" applyNumberFormat="1" applyFont="1" applyFill="1" applyBorder="1" applyAlignment="1" applyProtection="1">
      <alignment horizontal="center" vertical="center" wrapText="1"/>
      <protection locked="0"/>
    </xf>
    <xf numFmtId="49" fontId="280" fillId="9" borderId="2" xfId="0" applyNumberFormat="1" applyFont="1" applyFill="1" applyBorder="1" applyAlignment="1" applyProtection="1">
      <alignment horizontal="center" vertical="center" wrapText="1"/>
      <protection locked="0"/>
    </xf>
    <xf numFmtId="43" fontId="280" fillId="9" borderId="2" xfId="16" applyFont="1" applyFill="1" applyBorder="1" applyAlignment="1" applyProtection="1">
      <alignment horizontal="center" vertical="center" wrapText="1"/>
      <protection locked="0"/>
    </xf>
    <xf numFmtId="178" fontId="280" fillId="9" borderId="2" xfId="0" applyNumberFormat="1" applyFont="1" applyFill="1" applyBorder="1" applyAlignment="1" applyProtection="1">
      <alignment horizontal="center" vertical="center"/>
      <protection locked="0"/>
    </xf>
    <xf numFmtId="186" fontId="280" fillId="7" borderId="2" xfId="0" applyNumberFormat="1" applyFont="1" applyFill="1" applyBorder="1" applyAlignment="1" applyProtection="1">
      <alignment horizontal="center" vertical="center"/>
      <protection locked="0"/>
    </xf>
    <xf numFmtId="43" fontId="280" fillId="18" borderId="2" xfId="16" applyFont="1" applyFill="1" applyBorder="1" applyAlignment="1" applyProtection="1">
      <alignment horizontal="center" vertical="center" wrapText="1"/>
      <protection locked="0"/>
    </xf>
    <xf numFmtId="178" fontId="280" fillId="18" borderId="2" xfId="0" applyNumberFormat="1" applyFont="1" applyFill="1" applyBorder="1" applyAlignment="1" applyProtection="1">
      <alignment horizontal="center" vertical="center"/>
      <protection locked="0"/>
    </xf>
    <xf numFmtId="49" fontId="280" fillId="7" borderId="2" xfId="0" applyNumberFormat="1" applyFont="1" applyFill="1" applyBorder="1" applyAlignment="1" applyProtection="1">
      <alignment horizontal="center" vertical="center"/>
      <protection locked="0"/>
    </xf>
    <xf numFmtId="49" fontId="280" fillId="17" borderId="2" xfId="0" applyNumberFormat="1" applyFont="1" applyFill="1" applyBorder="1" applyAlignment="1" applyProtection="1">
      <alignment horizontal="center" vertical="center"/>
      <protection locked="0"/>
    </xf>
    <xf numFmtId="49" fontId="280" fillId="6" borderId="2" xfId="0" applyNumberFormat="1" applyFont="1" applyFill="1" applyBorder="1" applyAlignment="1" applyProtection="1">
      <alignment horizontal="center" vertical="center"/>
      <protection locked="0"/>
    </xf>
    <xf numFmtId="49" fontId="280" fillId="9" borderId="2" xfId="0" applyNumberFormat="1" applyFont="1" applyFill="1" applyBorder="1" applyAlignment="1" applyProtection="1">
      <alignment horizontal="center" vertical="center"/>
      <protection locked="0"/>
    </xf>
    <xf numFmtId="49" fontId="280" fillId="18" borderId="2" xfId="0" applyNumberFormat="1" applyFont="1" applyFill="1" applyBorder="1" applyAlignment="1" applyProtection="1">
      <alignment horizontal="center" vertical="center"/>
      <protection locked="0"/>
    </xf>
    <xf numFmtId="49" fontId="280" fillId="10" borderId="2" xfId="0" applyNumberFormat="1" applyFont="1" applyFill="1" applyBorder="1" applyAlignment="1" applyProtection="1">
      <alignment horizontal="center" vertical="center"/>
      <protection locked="0"/>
    </xf>
    <xf numFmtId="43" fontId="280" fillId="10" borderId="2" xfId="16" applyFont="1" applyFill="1" applyBorder="1" applyAlignment="1" applyProtection="1">
      <alignment horizontal="center" vertical="center" wrapText="1"/>
      <protection locked="0"/>
    </xf>
    <xf numFmtId="178" fontId="280" fillId="10" borderId="2" xfId="0" applyNumberFormat="1" applyFont="1" applyFill="1" applyBorder="1" applyAlignment="1" applyProtection="1">
      <alignment horizontal="center" vertical="center"/>
      <protection locked="0"/>
    </xf>
    <xf numFmtId="49" fontId="280" fillId="27" borderId="2" xfId="0" applyNumberFormat="1" applyFont="1" applyFill="1" applyBorder="1" applyAlignment="1" applyProtection="1">
      <alignment horizontal="center" vertical="center"/>
      <protection locked="0"/>
    </xf>
    <xf numFmtId="43" fontId="280" fillId="27" borderId="2" xfId="16" applyFont="1" applyFill="1" applyBorder="1" applyAlignment="1" applyProtection="1">
      <alignment horizontal="center" vertical="center" wrapText="1"/>
      <protection locked="0"/>
    </xf>
    <xf numFmtId="178" fontId="280" fillId="27" borderId="2" xfId="0" applyNumberFormat="1" applyFont="1" applyFill="1" applyBorder="1" applyAlignment="1" applyProtection="1">
      <alignment horizontal="center" vertical="center"/>
      <protection locked="0"/>
    </xf>
    <xf numFmtId="49" fontId="280" fillId="28" borderId="2" xfId="0" applyNumberFormat="1" applyFont="1" applyFill="1" applyBorder="1" applyAlignment="1" applyProtection="1">
      <alignment horizontal="center" vertical="center"/>
      <protection locked="0"/>
    </xf>
    <xf numFmtId="43" fontId="280" fillId="28" borderId="2" xfId="16" applyFont="1" applyFill="1" applyBorder="1" applyAlignment="1" applyProtection="1">
      <alignment horizontal="center" vertical="center" wrapText="1"/>
      <protection locked="0"/>
    </xf>
    <xf numFmtId="178" fontId="280" fillId="28" borderId="2" xfId="0" applyNumberFormat="1" applyFont="1" applyFill="1" applyBorder="1" applyAlignment="1" applyProtection="1">
      <alignment horizontal="center" vertical="center"/>
      <protection locked="0"/>
    </xf>
    <xf numFmtId="49" fontId="280" fillId="29" borderId="2" xfId="0" applyNumberFormat="1" applyFont="1" applyFill="1" applyBorder="1" applyAlignment="1" applyProtection="1">
      <alignment horizontal="center" vertical="center"/>
      <protection locked="0"/>
    </xf>
    <xf numFmtId="43" fontId="280" fillId="29" borderId="2" xfId="16" applyFont="1" applyFill="1" applyBorder="1" applyAlignment="1" applyProtection="1">
      <alignment horizontal="center" vertical="center" wrapText="1"/>
      <protection locked="0"/>
    </xf>
    <xf numFmtId="178" fontId="280" fillId="29" borderId="2" xfId="0" applyNumberFormat="1" applyFont="1" applyFill="1" applyBorder="1" applyAlignment="1" applyProtection="1">
      <alignment horizontal="center" vertical="center"/>
      <protection locked="0"/>
    </xf>
    <xf numFmtId="49" fontId="280" fillId="30" borderId="2" xfId="0" applyNumberFormat="1" applyFont="1" applyFill="1" applyBorder="1" applyAlignment="1" applyProtection="1">
      <alignment horizontal="center" vertical="center"/>
      <protection locked="0"/>
    </xf>
    <xf numFmtId="43" fontId="280" fillId="30" borderId="2" xfId="16" applyFont="1" applyFill="1" applyBorder="1" applyAlignment="1" applyProtection="1">
      <alignment horizontal="center" vertical="center" wrapText="1"/>
      <protection locked="0"/>
    </xf>
    <xf numFmtId="178" fontId="280" fillId="30" borderId="2" xfId="0" applyNumberFormat="1" applyFont="1" applyFill="1" applyBorder="1" applyAlignment="1" applyProtection="1">
      <alignment horizontal="center" vertical="center"/>
      <protection locked="0"/>
    </xf>
    <xf numFmtId="49" fontId="280" fillId="31" borderId="2" xfId="0" applyNumberFormat="1" applyFont="1" applyFill="1" applyBorder="1" applyAlignment="1" applyProtection="1">
      <alignment horizontal="center" vertical="center"/>
      <protection locked="0"/>
    </xf>
    <xf numFmtId="43" fontId="280" fillId="31" borderId="2" xfId="16" applyFont="1" applyFill="1" applyBorder="1" applyAlignment="1" applyProtection="1">
      <alignment horizontal="center" vertical="center" wrapText="1"/>
      <protection locked="0"/>
    </xf>
    <xf numFmtId="178" fontId="280" fillId="31" borderId="2" xfId="0" applyNumberFormat="1" applyFont="1" applyFill="1" applyBorder="1" applyAlignment="1" applyProtection="1">
      <alignment horizontal="center" vertical="center"/>
      <protection locked="0"/>
    </xf>
    <xf numFmtId="178" fontId="0" fillId="0" borderId="0" xfId="0" applyNumberFormat="1">
      <alignment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1" fontId="78" fillId="8" borderId="5" xfId="0" applyNumberFormat="1" applyFont="1" applyFill="1" applyBorder="1" applyAlignment="1" applyProtection="1">
      <alignment horizontal="center" vertical="center" wrapText="1"/>
      <protection locked="0"/>
    </xf>
    <xf numFmtId="181" fontId="78" fillId="8" borderId="8" xfId="0" applyNumberFormat="1" applyFont="1" applyFill="1" applyBorder="1" applyAlignment="1" applyProtection="1">
      <alignment horizontal="center" vertical="center" wrapText="1"/>
      <protection locked="0"/>
    </xf>
    <xf numFmtId="181"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6" fontId="83" fillId="5" borderId="2" xfId="0" applyNumberFormat="1" applyFont="1" applyFill="1" applyBorder="1" applyAlignment="1" applyProtection="1">
      <alignment horizontal="center" vertical="center"/>
    </xf>
    <xf numFmtId="186"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2" xfId="16"/>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66FF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4701;&#21019;&#24481;&#22253;&#22312;&#24314;-&#32456;&#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已售"/>
      <sheetName val="已售汇总"/>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127</v>
          </cell>
        </row>
      </sheetData>
      <sheetData sheetId="17" refreshError="1"/>
      <sheetData sheetId="18">
        <row r="33">
          <cell r="C33">
            <v>12.4223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2" customWidth="1"/>
    <col min="2" max="2" width="78.25" style="2903" customWidth="1"/>
    <col min="3" max="18" width="9" style="2897"/>
    <col min="19" max="19" width="17.875" style="2897" customWidth="1"/>
    <col min="20" max="51" width="9" style="2897"/>
    <col min="52" max="52" width="13.25" style="2897" customWidth="1"/>
    <col min="53" max="53" width="13.5" style="2897" bestFit="1" customWidth="1"/>
    <col min="54" max="54" width="11.625" style="2897" bestFit="1" customWidth="1"/>
    <col min="55" max="55" width="13.5" style="2897" bestFit="1" customWidth="1"/>
    <col min="56" max="16384" width="9" style="2897"/>
  </cols>
  <sheetData>
    <row r="1" spans="1:55" s="2908" customFormat="1" ht="16.5" thickBot="1">
      <c r="A1" s="2906" t="s">
        <v>2657</v>
      </c>
      <c r="B1" s="2907" t="s">
        <v>2754</v>
      </c>
    </row>
    <row r="2" spans="1:55" s="2911" customFormat="1" ht="15" thickTop="1">
      <c r="A2" s="2909" t="s">
        <v>2661</v>
      </c>
      <c r="B2" s="2910" t="str">
        <f>'预评函-封皮'!B37</f>
        <v>天津市北辰区北辰道与朝阳路交口出让国有建设用地使用权抵押价格预评估</v>
      </c>
      <c r="AX2" s="2912"/>
      <c r="AZ2" s="2912"/>
      <c r="BA2" s="2913"/>
      <c r="BC2" s="2913"/>
    </row>
    <row r="3" spans="1:55" s="2914" customFormat="1">
      <c r="A3" s="2893" t="s">
        <v>2662</v>
      </c>
      <c r="B3" s="2896" t="str">
        <f>'预评函-封皮'!B40</f>
        <v>天津合雨晨置业有限公司</v>
      </c>
    </row>
    <row r="4" spans="1:55" s="2895" customFormat="1">
      <c r="A4" s="2893" t="s">
        <v>2663</v>
      </c>
      <c r="B4" s="2894" t="str">
        <f>'预评函-封皮'!B46</f>
        <v>吴薇、刘梅</v>
      </c>
      <c r="N4" s="2895" t="str">
        <f>'预评函-1'!A28</f>
        <v/>
      </c>
    </row>
    <row r="5" spans="1:55" s="2908" customFormat="1" ht="15" thickBot="1">
      <c r="A5" s="2915" t="s">
        <v>2664</v>
      </c>
      <c r="B5" s="2916" t="str">
        <f>'预评函-封皮'!B49</f>
        <v>康正预评字号</v>
      </c>
    </row>
    <row r="6" spans="1:55" s="2917" customFormat="1" ht="15" thickTop="1">
      <c r="A6" s="2909" t="s">
        <v>2706</v>
      </c>
      <c r="B6" s="2910" t="str">
        <f>'预评函-1'!A4</f>
        <v>受贵公司委托，我公司对天津市北辰区北辰道与朝阳路交口出让国有建设用地使用权抵押价格进行了预评估。</v>
      </c>
      <c r="AM6" s="2918"/>
    </row>
    <row r="7" spans="1:55" s="2892" customFormat="1">
      <c r="A7" s="2893" t="s">
        <v>2658</v>
      </c>
      <c r="B7" s="2894" t="str">
        <f>'预评函-1'!A6</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8" spans="1:55" s="2892" customFormat="1">
      <c r="A8" s="2893" t="s">
        <v>2659</v>
      </c>
      <c r="B8" s="2894" t="str">
        <f>'预评函-1'!A7</f>
        <v xml:space="preserve">简述项目推广名，项目类型（用途），估价对象分布，各用途面积明细情况：XX用途建筑面积XX平方米，XX用途建筑面积XX平方米，……。复杂面积清单需设‘附表’列示：抵押物清单详见附表。        </v>
      </c>
    </row>
    <row r="9" spans="1:55" s="2892" customFormat="1">
      <c r="A9" s="2893" t="s">
        <v>2709</v>
      </c>
      <c r="B9" s="2894"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2" customFormat="1">
      <c r="A10" s="2893" t="s">
        <v>2660</v>
      </c>
      <c r="B10" s="2894" t="str">
        <f>'预评函-1'!A11</f>
        <v>2018年8月1日</v>
      </c>
    </row>
    <row r="11" spans="1:55" s="2892" customFormat="1">
      <c r="A11" s="2893" t="s">
        <v>2666</v>
      </c>
      <c r="B11" s="2894" t="str">
        <f>'预评函-1'!A14</f>
        <v>根据《天津市房地产权证》[津2017北辰区不动产权第1012383号]，本次评估估价对象证载（地类）用途为城镇住宅。</v>
      </c>
    </row>
    <row r="12" spans="1:55" s="2892" customFormat="1">
      <c r="A12" s="2893" t="s">
        <v>2667</v>
      </c>
      <c r="B12" s="2894" t="str">
        <f>'预评函-1'!A15</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row>
    <row r="13" spans="1:55" s="2892" customFormat="1">
      <c r="A13" s="2893" t="s">
        <v>2668</v>
      </c>
      <c r="B13" s="2894" t="str">
        <f>'预评函-1'!A17</f>
        <v>根据委托估价方介绍及评估专业人员现场勘查，本次评估估价对象实际土地开发程度为红线外市政基础设施达“七通”（即通路、通电、通讯、通上水、通下水、通热、燃气）、宗地红线内已开工建设。。</v>
      </c>
    </row>
    <row r="14" spans="1:55" s="2892" customFormat="1">
      <c r="A14" s="2893" t="s">
        <v>2669</v>
      </c>
      <c r="B14" s="289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2" customFormat="1">
      <c r="A15" s="2893" t="s">
        <v>2665</v>
      </c>
      <c r="B15" s="2894" t="str">
        <f>'预评函-1'!A20</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16" spans="1:55" s="2892" customFormat="1">
      <c r="A16" s="2893" t="s">
        <v>2670</v>
      </c>
      <c r="B16" s="2894" t="str">
        <f>'预评函-1'!A22</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17" spans="1:48" s="2892" customFormat="1">
      <c r="A17" s="2893" t="s">
        <v>2671</v>
      </c>
      <c r="B17" s="2894" t="str">
        <f>'预评函-1'!A23</f>
        <v>本次评估设定估价对象剩余土地使用年限为住宅68.4年、商业38.4年、地下车库48.4年。</v>
      </c>
    </row>
    <row r="18" spans="1:48" s="2892" customFormat="1">
      <c r="A18" s="2893" t="s">
        <v>2672</v>
      </c>
      <c r="B18" s="2894" t="str">
        <f>'预评函-1'!A25</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19" spans="1:48" s="2892" customFormat="1">
      <c r="A19" s="2893" t="s">
        <v>2673</v>
      </c>
      <c r="B19" s="2894" t="str">
        <f>'预评函-1'!A26</f>
        <v>本次估价的“抵押价格”是指估价对象在估价期日的“出让国有建设用地使用权价格”扣减估价师于估价期日所知悉的法定优先受偿款后的余额。</v>
      </c>
    </row>
    <row r="20" spans="1:48" s="2892" customFormat="1">
      <c r="A20" s="2893" t="s">
        <v>2674</v>
      </c>
      <c r="B20" s="28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8" customFormat="1" ht="15" thickBot="1">
      <c r="A21" s="2915" t="s">
        <v>2675</v>
      </c>
      <c r="B21" s="2916" t="str">
        <f>'预评函-1'!A28</f>
        <v/>
      </c>
    </row>
    <row r="22" spans="1:48" ht="15" thickTop="1">
      <c r="A22" s="2904" t="s">
        <v>2676</v>
      </c>
      <c r="B22" s="2905"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93" t="s">
        <v>2677</v>
      </c>
      <c r="B23" s="2894" t="str">
        <f>'预评函-2'!K2</f>
        <v>估价期日：2018年8月1日</v>
      </c>
    </row>
    <row r="24" spans="1:48">
      <c r="A24" s="2893" t="s">
        <v>2678</v>
      </c>
      <c r="B24" s="2894" t="str">
        <f>'预评函-2'!R2</f>
        <v>估价期日的国有建设用地使用权性质：出让</v>
      </c>
    </row>
    <row r="25" spans="1:48">
      <c r="A25" s="2893" t="s">
        <v>2734</v>
      </c>
      <c r="B25" s="2894" t="str">
        <f>'预评函-2'!A3</f>
        <v>估价期日土地使用者</v>
      </c>
    </row>
    <row r="26" spans="1:48">
      <c r="A26" s="2893" t="s">
        <v>2710</v>
      </c>
      <c r="B26" s="2894" t="str">
        <f>'预评函-2'!A5</f>
        <v>中信开发</v>
      </c>
    </row>
    <row r="27" spans="1:48">
      <c r="A27" s="2893" t="s">
        <v>2735</v>
      </c>
      <c r="B27" s="2894" t="str">
        <f>'预评函-2'!B3</f>
        <v>宗地编号/不动产单元号</v>
      </c>
    </row>
    <row r="28" spans="1:48">
      <c r="A28" s="2893" t="s">
        <v>2711</v>
      </c>
      <c r="B28" s="2894" t="str">
        <f>'预评函-2'!B5</f>
        <v>11111111111</v>
      </c>
    </row>
    <row r="29" spans="1:48">
      <c r="A29" s="2893" t="s">
        <v>2737</v>
      </c>
      <c r="B29" s="2894">
        <f>'预评函-2'!C5</f>
        <v>22</v>
      </c>
    </row>
    <row r="30" spans="1:48">
      <c r="A30" s="2893" t="s">
        <v>2738</v>
      </c>
      <c r="B30" s="2894" t="str">
        <f>'预评函-2'!D3</f>
        <v>土地使用证编号/不动产权证书编号</v>
      </c>
    </row>
    <row r="31" spans="1:48">
      <c r="A31" s="2893" t="s">
        <v>2712</v>
      </c>
      <c r="B31" s="2894" t="str">
        <f>'预评函-2'!D5</f>
        <v>京国土字第111号</v>
      </c>
    </row>
    <row r="32" spans="1:48">
      <c r="A32" s="2893" t="s">
        <v>2713</v>
      </c>
      <c r="B32" s="2894" t="str">
        <f>'预评函-2'!E5</f>
        <v>城镇住宅</v>
      </c>
      <c r="AV32" s="2898"/>
    </row>
    <row r="33" spans="1:2">
      <c r="A33" s="2893" t="s">
        <v>2714</v>
      </c>
      <c r="B33" s="2894">
        <f>'预评函-2'!F5</f>
        <v>258</v>
      </c>
    </row>
    <row r="34" spans="1:2">
      <c r="A34" s="2893" t="s">
        <v>2715</v>
      </c>
      <c r="B34" s="2894" t="str">
        <f>'预评函-2'!G5</f>
        <v>住宅、商业、地下车库</v>
      </c>
    </row>
    <row r="35" spans="1:2">
      <c r="A35" s="2893" t="s">
        <v>2716</v>
      </c>
      <c r="B35" s="2894">
        <f>'预评函-2'!H5</f>
        <v>1.5</v>
      </c>
    </row>
    <row r="36" spans="1:2">
      <c r="A36" s="2893" t="s">
        <v>2717</v>
      </c>
      <c r="B36" s="2894">
        <f>'预评函-2'!I5</f>
        <v>1.5</v>
      </c>
    </row>
    <row r="37" spans="1:2">
      <c r="A37" s="2893" t="s">
        <v>2718</v>
      </c>
      <c r="B37" s="2894">
        <f>'预评函-2'!J5</f>
        <v>1.5</v>
      </c>
    </row>
    <row r="38" spans="1:2">
      <c r="A38" s="2893" t="s">
        <v>2719</v>
      </c>
      <c r="B38" s="2894" t="str">
        <f>'预评函-2'!K5</f>
        <v>红线外七通、宗地红线内宗地内已开工建设</v>
      </c>
    </row>
    <row r="39" spans="1:2">
      <c r="A39" s="2893" t="s">
        <v>2720</v>
      </c>
      <c r="B39" s="2894" t="str">
        <f>'预评函-2'!L5</f>
        <v>红线外七通、宗地红线内场地</v>
      </c>
    </row>
    <row r="40" spans="1:2">
      <c r="A40" s="2893" t="s">
        <v>2739</v>
      </c>
      <c r="B40" s="2894" t="str">
        <f>'预评函-2'!M3</f>
        <v>（剩余）土地使用年限/年</v>
      </c>
    </row>
    <row r="41" spans="1:2">
      <c r="A41" s="2893" t="s">
        <v>2721</v>
      </c>
      <c r="B41" s="2894" t="str">
        <f>'预评函-2'!M5</f>
        <v>住宅68.4年、商业38.4年、地下车库48.4年</v>
      </c>
    </row>
    <row r="42" spans="1:2">
      <c r="A42" s="2893" t="s">
        <v>2740</v>
      </c>
      <c r="B42" s="2894" t="str">
        <f>'预评函-2'!N3</f>
        <v>（分摊）出让国有建设用地使用权面积/㎡</v>
      </c>
    </row>
    <row r="43" spans="1:2">
      <c r="A43" s="2893" t="s">
        <v>2722</v>
      </c>
      <c r="B43" s="2894">
        <f>'预评函-2'!N5</f>
        <v>69493.679999999993</v>
      </c>
    </row>
    <row r="44" spans="1:2">
      <c r="A44" s="2893" t="s">
        <v>2741</v>
      </c>
      <c r="B44" s="2894" t="str">
        <f>'预评函-2'!O3</f>
        <v>规划建筑面积/㎡</v>
      </c>
    </row>
    <row r="45" spans="1:2">
      <c r="A45" s="2893" t="s">
        <v>2723</v>
      </c>
      <c r="B45" s="2894">
        <f>'预评函-2'!O5</f>
        <v>165200.35999999996</v>
      </c>
    </row>
    <row r="46" spans="1:2">
      <c r="A46" s="2893" t="s">
        <v>2724</v>
      </c>
      <c r="B46" s="2894">
        <f ca="1">'预评函-2'!P5</f>
        <v>21075</v>
      </c>
    </row>
    <row r="47" spans="1:2">
      <c r="A47" s="2893" t="s">
        <v>2725</v>
      </c>
      <c r="B47" s="2894">
        <f ca="1">'预评函-2'!Q5</f>
        <v>8866</v>
      </c>
    </row>
    <row r="48" spans="1:2">
      <c r="A48" s="2893" t="s">
        <v>2726</v>
      </c>
      <c r="B48" s="2894">
        <f ca="1">'预评函-2'!R5</f>
        <v>146461</v>
      </c>
    </row>
    <row r="49" spans="1:2">
      <c r="A49" s="2893" t="s">
        <v>2742</v>
      </c>
      <c r="B49" s="2894" t="str">
        <f>'预评函-2'!A6</f>
        <v>抵押价格</v>
      </c>
    </row>
    <row r="50" spans="1:2">
      <c r="A50" s="2893" t="s">
        <v>2727</v>
      </c>
      <c r="B50" s="2894">
        <f ca="1">'预评函-2'!R6</f>
        <v>146461</v>
      </c>
    </row>
    <row r="51" spans="1:2">
      <c r="A51" s="2893" t="s">
        <v>2743</v>
      </c>
      <c r="B51" s="2894" t="str">
        <f>'预评函-2'!A7</f>
        <v>——</v>
      </c>
    </row>
    <row r="52" spans="1:2">
      <c r="A52" s="2893" t="s">
        <v>2728</v>
      </c>
      <c r="B52" s="2894" t="str">
        <f>'预评函-2'!R7</f>
        <v>——</v>
      </c>
    </row>
    <row r="53" spans="1:2">
      <c r="A53" s="2893" t="s">
        <v>2744</v>
      </c>
      <c r="B53" s="2894" t="str">
        <f>'预评函-2'!A8</f>
        <v>——</v>
      </c>
    </row>
    <row r="54" spans="1:2" s="2908" customFormat="1" ht="15" thickBot="1">
      <c r="A54" s="2915" t="s">
        <v>2729</v>
      </c>
      <c r="B54" s="2916" t="str">
        <f>'预评函-2'!R8</f>
        <v>——</v>
      </c>
    </row>
    <row r="55" spans="1:2" ht="15" thickTop="1">
      <c r="A55" s="2904" t="s">
        <v>2679</v>
      </c>
      <c r="B55" s="2905" t="str">
        <f>'预评函-3'!A2</f>
        <v>1.权利限制：根据估价对象《不动产权证书》复印件、《国有土地使用权》——，截至估价期日，估价对象抵押权未见登记。未设定租赁等其他他项权利。</v>
      </c>
    </row>
    <row r="56" spans="1:2">
      <c r="A56" s="2893" t="s">
        <v>2680</v>
      </c>
      <c r="B56" s="2894" t="str">
        <f>'预评函-3'!A3</f>
        <v>2.基础设施条件：估价对象实际开发程度为红线外七通、宗地红线内宗地内已开工建设；本次评估设定开发程度为红线外七通、宗地红线内场地。</v>
      </c>
    </row>
    <row r="57" spans="1:2">
      <c r="A57" s="2893" t="s">
        <v>2681</v>
      </c>
      <c r="B57" s="2894" t="str">
        <f>'预评函-3'!A4</f>
        <v>3.估价规划限制条件：详见《天津市国有建设用地使用权出让合同》[电子监管号：1201012016B02066号]及附件、《建设工程规划许可证》[2017北辰住证0010、0014号]、《预测绘报告》及《御园已售明细》。</v>
      </c>
    </row>
    <row r="58" spans="1:2" s="2908" customFormat="1" ht="15" thickBot="1">
      <c r="A58" s="2915" t="s">
        <v>2730</v>
      </c>
      <c r="B58" s="2916" t="str">
        <f>'预评函-3'!A5</f>
        <v>4.影响价格的其他限定条件：无。</v>
      </c>
    </row>
    <row r="59" spans="1:2" ht="15" thickTop="1">
      <c r="A59" s="2904" t="s">
        <v>2682</v>
      </c>
      <c r="B59" s="2905" t="str">
        <f>'预评函-3'!A8</f>
        <v>2.本《评估意见函》仅供金融机构进行内部审核使用，不做其他目的之用。</v>
      </c>
    </row>
    <row r="60" spans="1:2">
      <c r="A60" s="2893" t="s">
        <v>2683</v>
      </c>
      <c r="B60" s="2894" t="str">
        <f>'预评函-3'!A9</f>
        <v>3.抵押双方在办理抵押登记手续时，应使用本公司出具的正式《土地估价报告》，特提请报告使用者注意。</v>
      </c>
    </row>
    <row r="61" spans="1:2">
      <c r="A61" s="2893" t="s">
        <v>2685</v>
      </c>
      <c r="B61" s="2894" t="str">
        <f>'预评函-3'!A10</f>
        <v>4.估价师所知悉的法定优先受偿款情况为：</v>
      </c>
    </row>
    <row r="62" spans="1:2">
      <c r="A62" s="2893" t="s">
        <v>2684</v>
      </c>
      <c r="B62" s="2894" t="str">
        <f>'预评函-3'!A11</f>
        <v>（1）根据估价对象《不动产权证书》复印件、《国有土地使用权》——，截至估价期日，估价对象抵押权未见登记。</v>
      </c>
    </row>
    <row r="63" spans="1:2">
      <c r="A63" s="2893" t="s">
        <v>2686</v>
      </c>
      <c r="B63" s="28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3" t="s">
        <v>2687</v>
      </c>
      <c r="B64" s="2899" t="str">
        <f>'预评函-3'!A13</f>
        <v>（3）。</v>
      </c>
    </row>
    <row r="65" spans="1:2">
      <c r="A65" s="2893" t="s">
        <v>2688</v>
      </c>
      <c r="B65" s="2900" t="str">
        <f>'预评函-3'!A14</f>
        <v>综上，本次评估不存在估价师知悉的法定优先受偿款</v>
      </c>
    </row>
    <row r="66" spans="1:2">
      <c r="A66" s="2893" t="s">
        <v>2689</v>
      </c>
      <c r="B66" s="29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3" t="s">
        <v>2690</v>
      </c>
      <c r="B67" s="29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8" customFormat="1" ht="15" thickBot="1">
      <c r="A68" s="2915" t="s">
        <v>2693</v>
      </c>
      <c r="B68" s="2919">
        <f>'预评函-3'!D30</f>
        <v>42558</v>
      </c>
    </row>
    <row r="69" spans="1:2" ht="15" thickTop="1">
      <c r="A69" s="2904" t="s">
        <v>2691</v>
      </c>
      <c r="B69" s="2905" t="str">
        <f>'预评函-3'!A20</f>
        <v>吴薇</v>
      </c>
    </row>
    <row r="70" spans="1:2">
      <c r="A70" s="2893" t="s">
        <v>2691</v>
      </c>
      <c r="B70" s="2900">
        <f ca="1">'预评函-3'!B20</f>
        <v>2002110125</v>
      </c>
    </row>
    <row r="71" spans="1:2">
      <c r="A71" s="2893" t="s">
        <v>2692</v>
      </c>
      <c r="B71" s="2894" t="str">
        <f>'预评函-3'!A21</f>
        <v>刘梅</v>
      </c>
    </row>
    <row r="72" spans="1:2" s="2908" customFormat="1" ht="15" thickBot="1">
      <c r="A72" s="2915" t="s">
        <v>2692</v>
      </c>
      <c r="B72" s="2921">
        <f ca="1">'预评函-3'!B21</f>
        <v>2008110059</v>
      </c>
    </row>
    <row r="73" spans="1:2" ht="15" thickTop="1">
      <c r="A73" s="2904" t="s">
        <v>2751</v>
      </c>
      <c r="B73" s="29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3" t="s">
        <v>2752</v>
      </c>
      <c r="B74" s="2901" t="str">
        <f>'预评函-1 (储备)'!A18</f>
        <v>由于本次评估估价目的是评估储备国有建设用地使用权的“抵押价格”，因此本次评估设定土地开发程度为红线外市政基础设施达“七通”、宗地红线内场地平整。</v>
      </c>
    </row>
    <row r="75" spans="1:2" s="2908" customFormat="1" ht="15" thickBot="1">
      <c r="A75" s="2915" t="s">
        <v>2753</v>
      </c>
      <c r="B75" s="29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2" t="s">
        <v>2788</v>
      </c>
      <c r="B76" s="290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19" sqref="D19"/>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2" t="s">
        <v>1939</v>
      </c>
      <c r="B1" s="3337" t="str">
        <f>IF(B10="北京市","北京市",C10)&amp;F10&amp;B16&amp;"国有建设用地使用权"&amp;B9&amp;"预评估"</f>
        <v>天津市北辰区北辰道与朝阳路交口出让国有建设用地使用权抵押价格预评估</v>
      </c>
      <c r="C1" s="3338"/>
      <c r="D1" s="3338"/>
      <c r="E1" s="3338"/>
      <c r="F1" s="3338"/>
      <c r="G1" s="3338"/>
      <c r="H1" s="3338"/>
      <c r="I1" s="3339"/>
      <c r="J1" s="1686"/>
      <c r="K1" s="2470" t="str">
        <f>IF(B10="北京市","北京市",C10)&amp;F10&amp;B16&amp;"国有建设用地使用权"&amp;B9</f>
        <v>天津市北辰区北辰道与朝阳路交口出让国有建设用地使用权抵押价格</v>
      </c>
      <c r="L1" s="1715"/>
      <c r="M1" s="1715"/>
      <c r="N1" s="1686"/>
      <c r="O1" s="1687"/>
      <c r="P1" s="1686"/>
      <c r="Q1" s="1686"/>
      <c r="R1" s="1686"/>
      <c r="S1" s="1686"/>
      <c r="T1" s="1686"/>
      <c r="U1" s="1686"/>
    </row>
    <row r="2" spans="1:21">
      <c r="A2" s="1653" t="s">
        <v>1940</v>
      </c>
      <c r="B2" s="1834"/>
      <c r="D2" s="1686"/>
      <c r="E2" s="1686"/>
      <c r="F2" s="1686"/>
      <c r="G2" s="1686"/>
      <c r="H2" s="1653"/>
      <c r="I2" s="1687"/>
      <c r="J2" s="1686"/>
      <c r="K2" s="2470" t="str">
        <f>IF(B10="北京市","北京市",C10)&amp;F10&amp;B16&amp;"国有建设用地使用权"</f>
        <v>天津市北辰区北辰道与朝阳路交口出让国有建设用地使用权</v>
      </c>
      <c r="L2" s="1715"/>
      <c r="M2" s="1715"/>
      <c r="N2" s="1686"/>
      <c r="O2" s="1687"/>
      <c r="P2" s="1686"/>
      <c r="Q2" s="1686"/>
      <c r="R2" s="1686"/>
      <c r="S2" s="1686"/>
      <c r="T2" s="1686"/>
      <c r="U2" s="1686"/>
    </row>
    <row r="3" spans="1:21">
      <c r="A3" s="1654" t="s">
        <v>1941</v>
      </c>
      <c r="B3" s="1655">
        <v>43238</v>
      </c>
      <c r="C3" s="1656" t="s">
        <v>1996</v>
      </c>
      <c r="D3" s="1655">
        <v>43313</v>
      </c>
      <c r="E3" s="1686"/>
      <c r="F3" s="1686"/>
      <c r="G3" s="1686"/>
      <c r="H3" s="1653"/>
      <c r="I3" s="1687"/>
      <c r="J3" s="1686"/>
      <c r="K3" s="1766"/>
      <c r="L3" s="1715"/>
      <c r="M3" s="1715"/>
      <c r="N3" s="1686"/>
      <c r="O3" s="1687"/>
      <c r="P3" s="1686"/>
      <c r="Q3" s="1686"/>
      <c r="R3" s="1686"/>
      <c r="S3" s="1686"/>
      <c r="T3" s="1686"/>
      <c r="U3" s="1686"/>
    </row>
    <row r="4" spans="1:21" ht="15" thickBot="1">
      <c r="A4" s="1657" t="s">
        <v>1942</v>
      </c>
      <c r="B4" s="1835" t="s">
        <v>2977</v>
      </c>
      <c r="C4" s="1838">
        <f ca="1">SUMIF(土地估价师,B4,估价师及机构信息!E3:E24)</f>
        <v>2002110125</v>
      </c>
      <c r="D4" s="1835" t="s">
        <v>2978</v>
      </c>
      <c r="E4" s="1838">
        <f ca="1">SUMIF(土地估价师,D4,估价师及机构信息!E3:E24)</f>
        <v>2008110059</v>
      </c>
      <c r="F4" s="1835" t="s">
        <v>951</v>
      </c>
      <c r="G4" s="1838">
        <f>SUMIF(土地估价师,F4,估价师及机构信息!E3:E24)</f>
        <v>0</v>
      </c>
      <c r="H4" s="1835" t="s">
        <v>951</v>
      </c>
      <c r="I4" s="1838">
        <f>SUMIF(土地估价师,H4,估价师及机构信息!E3:E24)</f>
        <v>0</v>
      </c>
      <c r="J4" s="1686"/>
      <c r="K4" s="2470" t="str">
        <f>IF(AND(F4="——",H4="——"),B4&amp;"、"&amp;D4,IF(AND(F4&lt;&gt;"——",H4="——"),B4&amp;"、"&amp;D4&amp;"、"&amp;F4,B4&amp;"、"&amp;D4&amp;"、"&amp;F4&amp;"、"&amp;H4))</f>
        <v>吴薇、刘梅</v>
      </c>
      <c r="L4" s="1715"/>
      <c r="M4" s="1715"/>
      <c r="N4" s="1686"/>
      <c r="O4" s="1687"/>
      <c r="P4" s="1686"/>
      <c r="Q4" s="1686"/>
      <c r="R4" s="1686"/>
      <c r="S4" s="1686"/>
      <c r="T4" s="1686"/>
      <c r="U4" s="1686"/>
    </row>
    <row r="5" spans="1:21" ht="15" thickTop="1">
      <c r="A5" s="1658" t="s">
        <v>1943</v>
      </c>
      <c r="B5" s="1781" t="s">
        <v>2979</v>
      </c>
      <c r="C5" s="1659"/>
      <c r="D5" s="1660"/>
      <c r="E5" s="1686"/>
      <c r="F5" s="1686"/>
      <c r="G5" s="1686"/>
      <c r="H5" s="1653"/>
      <c r="I5" s="1687"/>
      <c r="J5" s="1686"/>
      <c r="K5" s="1766"/>
      <c r="L5" s="1715"/>
      <c r="M5" s="1715"/>
      <c r="N5" s="1686"/>
      <c r="O5" s="1687"/>
      <c r="P5" s="1686"/>
      <c r="Q5" s="1686"/>
      <c r="R5" s="1686"/>
      <c r="S5" s="1686"/>
      <c r="T5" s="1686"/>
      <c r="U5" s="1686"/>
    </row>
    <row r="6" spans="1:21" ht="26.25">
      <c r="A6" s="1656" t="s">
        <v>2707</v>
      </c>
      <c r="B6" s="1781" t="s">
        <v>4332</v>
      </c>
      <c r="C6" s="1753"/>
      <c r="D6" s="1661"/>
      <c r="E6" s="1686"/>
      <c r="F6" s="1686"/>
      <c r="G6" s="1686"/>
      <c r="H6" s="1653"/>
      <c r="I6" s="1687"/>
      <c r="J6" s="1686"/>
      <c r="K6" s="3069" t="str">
        <f>IF(COUNTIF(B6,"*上海银行*"),"上海银行","")</f>
        <v/>
      </c>
      <c r="L6" s="1715"/>
      <c r="M6" s="1715"/>
      <c r="N6" s="1686"/>
      <c r="O6" s="1687"/>
      <c r="P6" s="1686"/>
      <c r="Q6" s="1686"/>
      <c r="R6" s="1686"/>
      <c r="S6" s="1686"/>
      <c r="T6" s="1686"/>
      <c r="U6" s="1686"/>
    </row>
    <row r="7" spans="1:21">
      <c r="A7" s="1662" t="s">
        <v>2708</v>
      </c>
      <c r="B7" s="1781" t="s">
        <v>2979</v>
      </c>
      <c r="C7" s="1753"/>
      <c r="D7" s="1661"/>
      <c r="E7" s="1686"/>
      <c r="F7" s="1686"/>
      <c r="G7" s="1686"/>
      <c r="H7" s="1653"/>
      <c r="I7" s="1687"/>
      <c r="J7" s="1686"/>
      <c r="K7" s="1766"/>
      <c r="L7" s="1715"/>
      <c r="M7" s="1715"/>
      <c r="N7" s="1686"/>
      <c r="O7" s="1687"/>
      <c r="P7" s="1686"/>
      <c r="Q7" s="1686"/>
      <c r="R7" s="1686"/>
      <c r="S7" s="1686"/>
      <c r="T7" s="1686"/>
      <c r="U7" s="1686"/>
    </row>
    <row r="8" spans="1:21">
      <c r="A8" s="1662" t="s">
        <v>1944</v>
      </c>
      <c r="B8" s="1663" t="s">
        <v>2981</v>
      </c>
      <c r="C8" s="1664"/>
      <c r="D8" s="3343" t="s">
        <v>1946</v>
      </c>
      <c r="E8" s="1836" t="s">
        <v>2982</v>
      </c>
      <c r="F8" s="1665"/>
      <c r="G8" s="1653"/>
      <c r="H8" s="1653"/>
      <c r="I8" s="1699"/>
      <c r="J8" s="1686"/>
      <c r="K8" s="1766"/>
      <c r="L8" s="1715"/>
      <c r="M8" s="1715"/>
      <c r="N8" s="1686"/>
      <c r="O8" s="1687"/>
      <c r="P8" s="1686"/>
      <c r="Q8" s="1686"/>
      <c r="R8" s="1686"/>
      <c r="S8" s="1686"/>
      <c r="T8" s="1686"/>
      <c r="U8" s="1686"/>
    </row>
    <row r="9" spans="1:21" ht="15" thickBot="1">
      <c r="A9" s="1666" t="s">
        <v>1945</v>
      </c>
      <c r="B9" s="1667" t="s">
        <v>2982</v>
      </c>
      <c r="C9" s="1668"/>
      <c r="D9" s="3344"/>
      <c r="E9" s="1667" t="s">
        <v>951</v>
      </c>
      <c r="F9" s="1739"/>
      <c r="G9" s="1734"/>
      <c r="H9" s="1734"/>
      <c r="I9" s="1735"/>
      <c r="J9" s="1686"/>
      <c r="K9" s="1766"/>
      <c r="L9" s="1715"/>
      <c r="M9" s="1715"/>
      <c r="N9" s="1686"/>
      <c r="O9" s="1687"/>
      <c r="P9" s="1686"/>
      <c r="Q9" s="1686"/>
      <c r="R9" s="1686"/>
      <c r="S9" s="1686"/>
      <c r="T9" s="1686"/>
      <c r="U9" s="1686"/>
    </row>
    <row r="10" spans="1:21" ht="15" thickTop="1">
      <c r="A10" s="1736" t="s">
        <v>1999</v>
      </c>
      <c r="B10" s="1711" t="s">
        <v>2983</v>
      </c>
      <c r="C10" s="1669" t="s">
        <v>2984</v>
      </c>
      <c r="D10" s="1660"/>
      <c r="E10" s="1670" t="s">
        <v>1948</v>
      </c>
      <c r="F10" s="1671" t="s">
        <v>2985</v>
      </c>
      <c r="G10" s="1737"/>
      <c r="H10" s="1738"/>
      <c r="I10" s="1660"/>
      <c r="J10" s="1686"/>
      <c r="K10" s="1766"/>
      <c r="L10" s="1715"/>
      <c r="M10" s="1715"/>
      <c r="N10" s="1686"/>
      <c r="O10" s="1687"/>
      <c r="P10" s="1686"/>
      <c r="Q10" s="1686"/>
      <c r="R10" s="1686"/>
      <c r="S10" s="1686"/>
      <c r="T10" s="1686"/>
      <c r="U10" s="1686"/>
    </row>
    <row r="11" spans="1:21">
      <c r="A11" s="1689" t="s">
        <v>2000</v>
      </c>
      <c r="B11" s="1690" t="s">
        <v>2986</v>
      </c>
      <c r="C11" s="3168" t="s">
        <v>2980</v>
      </c>
      <c r="D11" s="1754"/>
      <c r="E11" s="1653"/>
      <c r="F11" s="1653"/>
      <c r="G11" s="1653"/>
      <c r="H11" s="1653"/>
      <c r="I11" s="1653"/>
      <c r="J11" s="1686"/>
      <c r="K11" s="1766"/>
      <c r="L11" s="1715"/>
      <c r="M11" s="1715"/>
      <c r="N11" s="1686"/>
      <c r="O11" s="1687"/>
      <c r="P11" s="1686"/>
      <c r="Q11" s="1686"/>
      <c r="R11" s="1686"/>
      <c r="S11" s="1686"/>
      <c r="T11" s="1686"/>
      <c r="U11" s="1686"/>
    </row>
    <row r="12" spans="1:21">
      <c r="A12" s="1777" t="s">
        <v>2058</v>
      </c>
      <c r="B12" s="3340" t="s">
        <v>2987</v>
      </c>
      <c r="C12" s="3341"/>
      <c r="D12" s="3342"/>
      <c r="E12" s="1691" t="s">
        <v>2061</v>
      </c>
      <c r="F12" s="3358" t="s">
        <v>2988</v>
      </c>
      <c r="G12" s="3359"/>
      <c r="H12" s="3359"/>
      <c r="I12" s="3360"/>
      <c r="J12" s="1686"/>
      <c r="K12" s="1766"/>
      <c r="L12" s="1715"/>
      <c r="M12" s="1715"/>
      <c r="N12" s="1686"/>
      <c r="O12" s="1687"/>
      <c r="P12" s="1686"/>
      <c r="Q12" s="1686"/>
      <c r="R12" s="1686"/>
      <c r="S12" s="1686"/>
      <c r="T12" s="1686"/>
      <c r="U12" s="1686"/>
    </row>
    <row r="13" spans="1:21">
      <c r="A13" s="1679" t="s">
        <v>2059</v>
      </c>
      <c r="B13" s="3340" t="s">
        <v>2989</v>
      </c>
      <c r="C13" s="3341"/>
      <c r="D13" s="3342"/>
      <c r="E13" s="1691" t="s">
        <v>2061</v>
      </c>
      <c r="F13" s="3358" t="s">
        <v>2995</v>
      </c>
      <c r="G13" s="3359"/>
      <c r="H13" s="3359"/>
      <c r="I13" s="3360"/>
      <c r="J13" s="1686"/>
      <c r="K13" s="1766"/>
      <c r="L13" s="1715"/>
      <c r="M13" s="1715"/>
      <c r="N13" s="1686"/>
      <c r="O13" s="1687"/>
      <c r="P13" s="1686"/>
      <c r="Q13" s="1686"/>
      <c r="R13" s="1686"/>
      <c r="S13" s="1686"/>
      <c r="T13" s="1686"/>
      <c r="U13" s="1686"/>
    </row>
    <row r="14" spans="1:21">
      <c r="A14" s="1654" t="s">
        <v>2062</v>
      </c>
      <c r="B14" s="1691"/>
      <c r="C14" s="1837" t="s">
        <v>2990</v>
      </c>
      <c r="D14" s="1725" t="str">
        <f>IF(C14="不一致","是否符合证载地类范围","")</f>
        <v>是否符合证载地类范围</v>
      </c>
      <c r="E14" s="1691"/>
      <c r="F14" s="1782" t="s">
        <v>2992</v>
      </c>
      <c r="G14" s="1720"/>
      <c r="H14" s="1720"/>
      <c r="I14" s="1829"/>
      <c r="J14" s="1686"/>
      <c r="K14" s="1766"/>
      <c r="L14" s="1715"/>
      <c r="M14" s="1715"/>
      <c r="N14" s="1686"/>
      <c r="O14" s="1687"/>
      <c r="P14" s="1686"/>
      <c r="Q14" s="1686"/>
      <c r="R14" s="1686"/>
      <c r="S14" s="1686"/>
      <c r="T14" s="1686"/>
      <c r="U14" s="1686"/>
    </row>
    <row r="15" spans="1:21" hidden="1">
      <c r="A15" s="2660"/>
      <c r="B15" s="1656"/>
      <c r="C15" s="1656"/>
      <c r="D15" s="1758" t="s">
        <v>1951</v>
      </c>
      <c r="E15" s="1758" t="s">
        <v>1952</v>
      </c>
      <c r="F15" s="1758" t="s">
        <v>1953</v>
      </c>
      <c r="G15" s="1678" t="s">
        <v>1954</v>
      </c>
      <c r="H15" s="1678" t="s">
        <v>1955</v>
      </c>
      <c r="I15" s="1678" t="s">
        <v>1956</v>
      </c>
      <c r="J15" s="1686"/>
      <c r="K15" s="1766"/>
      <c r="L15" s="1715"/>
      <c r="M15" s="1715"/>
      <c r="N15" s="1686"/>
      <c r="O15" s="1687"/>
      <c r="P15" s="1686"/>
      <c r="Q15" s="1686"/>
      <c r="R15" s="1686"/>
      <c r="S15" s="1686"/>
      <c r="T15" s="1686"/>
      <c r="U15" s="1686"/>
    </row>
    <row r="16" spans="1:21" ht="23.25" customHeight="1">
      <c r="A16" s="1672" t="s">
        <v>1949</v>
      </c>
      <c r="B16" s="1673" t="s">
        <v>2991</v>
      </c>
      <c r="C16" s="1691" t="s">
        <v>1950</v>
      </c>
      <c r="D16" s="2661" t="s">
        <v>1951</v>
      </c>
      <c r="E16" s="1714" t="s">
        <v>2993</v>
      </c>
      <c r="F16" s="1714"/>
      <c r="G16" s="1714" t="s">
        <v>35</v>
      </c>
      <c r="H16" s="1714"/>
      <c r="I16" s="1678" t="s">
        <v>1956</v>
      </c>
      <c r="J16" s="1686"/>
      <c r="K16" s="2471" t="str">
        <f>IF(D17="","",D16&amp;TEXT(D17,"yyyy年m月d日;;"))</f>
        <v>住宅2086年10月24日</v>
      </c>
      <c r="L16" s="1691" t="str">
        <f>IF(OR(K16="",M16=""),"","、")</f>
        <v>、</v>
      </c>
      <c r="M16" s="2471" t="str">
        <f>IF(E17="","",E16&amp;TEXT(E17,"yyyy年m月d日;;"))</f>
        <v>商业2056年10月24日</v>
      </c>
      <c r="N16" s="1691" t="str">
        <f>IF(OR(M16="",O16=""),"","、")</f>
        <v/>
      </c>
      <c r="O16" s="2471" t="str">
        <f>IF(F17="","",F16&amp;TEXT(F17,"yyyy年m月d日;;"))</f>
        <v/>
      </c>
      <c r="P16" s="1691" t="str">
        <f>IF(OR(O16="",Q16=""),"","、")</f>
        <v/>
      </c>
      <c r="Q16" s="2471" t="str">
        <f>IF(G17="","",G16&amp;TEXT(G17,"yyyy年m月d日;;"))</f>
        <v>地下车库2066年10月24日</v>
      </c>
      <c r="R16" s="1691" t="str">
        <f>IF(OR(Q16="",S16=""),"","、")</f>
        <v/>
      </c>
      <c r="S16" s="2471" t="str">
        <f>IF(H17="","",H16&amp;TEXT(H17,"yyyy年m月d日;;"))</f>
        <v/>
      </c>
      <c r="T16" s="1691" t="str">
        <f>IF(OR(S16="",U16=""),"","、")</f>
        <v/>
      </c>
      <c r="U16" s="2471" t="str">
        <f>IF(I17="","",I16&amp;TEXT(I17,"yyyy年m月d日;;"))</f>
        <v/>
      </c>
    </row>
    <row r="17" spans="1:21">
      <c r="A17" s="1755"/>
      <c r="B17" s="1674"/>
      <c r="C17" s="1675" t="s">
        <v>1957</v>
      </c>
      <c r="D17" s="1692">
        <v>68234</v>
      </c>
      <c r="E17" s="1692">
        <v>57277</v>
      </c>
      <c r="F17" s="1692"/>
      <c r="G17" s="1692">
        <v>60929</v>
      </c>
      <c r="H17" s="1692"/>
      <c r="I17" s="1692"/>
      <c r="J17" s="1686"/>
      <c r="K17" s="2470" t="str">
        <f>CONCATENATE(K16,L16,M16,N16,O16,P16,Q16,R16,S16,T16,,U16)</f>
        <v>住宅2086年10月24日、商业2056年10月24日地下车库2066年10月24日</v>
      </c>
      <c r="L17" s="1715"/>
      <c r="M17" s="1715"/>
      <c r="N17" s="1686"/>
      <c r="O17" s="1687"/>
      <c r="P17" s="1686"/>
      <c r="Q17" s="1686"/>
      <c r="R17" s="1686"/>
      <c r="S17" s="1686"/>
      <c r="T17" s="1686"/>
      <c r="U17" s="1686"/>
    </row>
    <row r="18" spans="1:21">
      <c r="A18" s="1755"/>
      <c r="B18" s="1674"/>
      <c r="C18" s="1675" t="s">
        <v>1958</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3" t="s">
        <v>1959</v>
      </c>
      <c r="D19" s="1750">
        <f>IF(B16="出让",IF(D17="","",ROUNDDOWN(MIN((D17-$D$3)/365,D18),2)),D18)</f>
        <v>68.27</v>
      </c>
      <c r="E19" s="1677">
        <f>IF(B16="出让",IF(E17="","",ROUNDDOWN(MIN((E17-$D$3)/365,E18),2)),E18)</f>
        <v>38.25</v>
      </c>
      <c r="F19" s="1677" t="str">
        <f>IF(B16="出让",IF(F17="","",ROUNDDOWN(MIN((F17-$D$3)/365,F18),2)),F18)</f>
        <v/>
      </c>
      <c r="G19" s="1677">
        <f>IF(B16="出让",IF(G17="","",ROUNDDOWN(MIN((G17-$D$3)/365,G18),2)),G18)</f>
        <v>48.26</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355" t="s">
        <v>2994</v>
      </c>
      <c r="E20" s="3356"/>
      <c r="F20" s="3356"/>
      <c r="G20" s="3356"/>
      <c r="H20" s="3356"/>
      <c r="I20" s="3357"/>
      <c r="J20" s="1686"/>
      <c r="K20" s="1766"/>
      <c r="L20" s="1715"/>
      <c r="M20" s="1715"/>
      <c r="N20" s="1686"/>
      <c r="O20" s="1687"/>
      <c r="P20" s="1686"/>
      <c r="Q20" s="1686"/>
      <c r="R20" s="1686"/>
      <c r="S20" s="1686"/>
      <c r="T20" s="1686"/>
      <c r="U20" s="1686"/>
    </row>
    <row r="21" spans="1:21">
      <c r="A21" s="1755" t="s">
        <v>1960</v>
      </c>
      <c r="B21" s="1756" t="s">
        <v>1961</v>
      </c>
      <c r="C21" s="1751">
        <f>'数据-汇总表'!E3</f>
        <v>165200.35999999996</v>
      </c>
      <c r="D21" s="1752" t="s">
        <v>1962</v>
      </c>
      <c r="E21" s="3345" t="s">
        <v>4333</v>
      </c>
      <c r="F21" s="3346"/>
      <c r="G21" s="3346"/>
      <c r="H21" s="3346"/>
      <c r="I21" s="3347"/>
      <c r="J21" s="1686"/>
      <c r="K21" s="1766"/>
      <c r="L21" s="1715"/>
      <c r="M21" s="1715"/>
      <c r="N21" s="1686"/>
      <c r="O21" s="1687"/>
      <c r="P21" s="1686"/>
      <c r="Q21" s="1686"/>
      <c r="R21" s="1686"/>
      <c r="S21" s="1686"/>
      <c r="T21" s="1686"/>
      <c r="U21" s="1686"/>
    </row>
    <row r="22" spans="1:21">
      <c r="A22" s="3165" t="s">
        <v>951</v>
      </c>
      <c r="B22" s="1654" t="s">
        <v>1963</v>
      </c>
      <c r="C22" s="1678">
        <f>'数据-汇总表'!D3</f>
        <v>69493.679999999993</v>
      </c>
      <c r="D22" s="1679" t="s">
        <v>1962</v>
      </c>
      <c r="E22" s="3345" t="s">
        <v>4334</v>
      </c>
      <c r="F22" s="3346"/>
      <c r="G22" s="3346"/>
      <c r="H22" s="3346"/>
      <c r="I22" s="3347"/>
      <c r="J22" s="1686"/>
      <c r="K22" s="1766"/>
      <c r="L22" s="1715"/>
      <c r="M22" s="1715"/>
      <c r="N22" s="1686"/>
      <c r="O22" s="1687"/>
      <c r="P22" s="1686"/>
      <c r="Q22" s="1686"/>
      <c r="R22" s="1686"/>
      <c r="S22" s="1686"/>
      <c r="T22" s="1686"/>
      <c r="U22" s="1686"/>
    </row>
    <row r="23" spans="1:21" ht="43.5" thickBot="1">
      <c r="A23" s="1757" t="s">
        <v>1964</v>
      </c>
      <c r="B23" s="1693" t="s">
        <v>1965</v>
      </c>
      <c r="C23" s="1694" t="s">
        <v>2996</v>
      </c>
      <c r="D23" s="1695" t="s">
        <v>1966</v>
      </c>
      <c r="E23" s="1696" t="s">
        <v>951</v>
      </c>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1967</v>
      </c>
      <c r="B24" s="3348" t="s">
        <v>1968</v>
      </c>
      <c r="C24" s="3349"/>
      <c r="D24" s="3350" t="s">
        <v>1969</v>
      </c>
      <c r="E24" s="3351"/>
      <c r="F24" s="1700" t="s">
        <v>1970</v>
      </c>
      <c r="G24" s="1686"/>
      <c r="H24" s="1686"/>
      <c r="I24" s="1699"/>
      <c r="J24" s="1686"/>
      <c r="K24" s="3336" t="s">
        <v>1971</v>
      </c>
      <c r="L24" s="2472"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15"/>
      <c r="N24" s="1686"/>
      <c r="O24" s="1687"/>
      <c r="P24" s="1686"/>
      <c r="Q24" s="1686"/>
      <c r="R24" s="1686"/>
      <c r="S24" s="1686"/>
      <c r="T24" s="1686"/>
      <c r="U24" s="1686"/>
    </row>
    <row r="25" spans="1:21" ht="28.5">
      <c r="A25" s="1743"/>
      <c r="B25" s="1740" t="s">
        <v>2325</v>
      </c>
      <c r="C25" s="1701" t="s">
        <v>2326</v>
      </c>
      <c r="D25" s="1702"/>
      <c r="E25" s="1703" t="s">
        <v>951</v>
      </c>
      <c r="F25" s="1704"/>
      <c r="G25" s="1686"/>
      <c r="H25" s="1686"/>
      <c r="I25" s="1699"/>
      <c r="J25" s="1686"/>
      <c r="K25" s="3336"/>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29.25" thickBot="1">
      <c r="A26" s="1744"/>
      <c r="B26" s="1741" t="s">
        <v>1972</v>
      </c>
      <c r="C26" s="1701" t="s">
        <v>951</v>
      </c>
      <c r="D26" s="1653"/>
      <c r="E26" s="1653"/>
      <c r="F26" s="1680"/>
      <c r="G26" s="1686"/>
      <c r="H26" s="1686"/>
      <c r="I26" s="1699"/>
      <c r="J26" s="1686"/>
      <c r="K26" s="3336"/>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66"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67"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67"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68" t="s">
        <v>1977</v>
      </c>
      <c r="E30" s="1710"/>
      <c r="F30" s="1681"/>
      <c r="G30" s="1734"/>
      <c r="H30" s="1734"/>
      <c r="I30" s="1735"/>
      <c r="J30" s="1686"/>
      <c r="K30" s="1766"/>
      <c r="L30" s="1715"/>
      <c r="M30" s="1715"/>
      <c r="N30" s="1686"/>
      <c r="O30" s="1687"/>
      <c r="P30" s="1686"/>
      <c r="Q30" s="1686"/>
      <c r="R30" s="1686"/>
      <c r="S30" s="1686"/>
      <c r="T30" s="1686"/>
      <c r="U30" s="1686"/>
    </row>
    <row r="31" spans="1:21" ht="15" thickTop="1">
      <c r="A31" s="3363" t="s">
        <v>2001</v>
      </c>
      <c r="B31" s="1756" t="s">
        <v>2002</v>
      </c>
      <c r="C31" s="3361" t="s">
        <v>2997</v>
      </c>
      <c r="D31" s="3362"/>
      <c r="E31" s="1686"/>
      <c r="F31" s="1686"/>
      <c r="G31" s="1686"/>
      <c r="H31" s="1686"/>
      <c r="I31" s="1699"/>
      <c r="J31" s="1686"/>
      <c r="K31" s="2473"/>
      <c r="L31" s="1686"/>
      <c r="M31" s="1686"/>
      <c r="N31" s="1686"/>
      <c r="O31" s="1686"/>
      <c r="P31" s="1686"/>
      <c r="Q31" s="1686"/>
      <c r="R31" s="1686"/>
      <c r="S31" s="1686"/>
      <c r="T31" s="1686"/>
      <c r="U31" s="1686"/>
    </row>
    <row r="32" spans="1:21">
      <c r="A32" s="3363"/>
      <c r="B32" s="1654" t="s">
        <v>2003</v>
      </c>
      <c r="C32" s="1711" t="s">
        <v>2998</v>
      </c>
      <c r="D32" s="1712"/>
      <c r="E32" s="1686"/>
      <c r="F32" s="1686"/>
      <c r="G32" s="1686"/>
      <c r="H32" s="1686"/>
      <c r="I32" s="1699"/>
      <c r="J32" s="1686"/>
      <c r="K32" s="2473"/>
      <c r="L32" s="1686"/>
      <c r="M32" s="1686"/>
      <c r="N32" s="1686"/>
      <c r="O32" s="1686"/>
      <c r="P32" s="1686"/>
      <c r="Q32" s="1686"/>
      <c r="R32" s="1686"/>
      <c r="S32" s="1686"/>
      <c r="T32" s="1686"/>
      <c r="U32" s="1686"/>
    </row>
    <row r="33" spans="1:21">
      <c r="A33" s="3363"/>
      <c r="B33" s="1654" t="s">
        <v>2004</v>
      </c>
      <c r="C33" s="1713" t="s">
        <v>2996</v>
      </c>
      <c r="D33" s="1830"/>
      <c r="E33" s="1686"/>
      <c r="F33" s="1686"/>
      <c r="G33" s="1686"/>
      <c r="H33" s="1686"/>
      <c r="I33" s="1699"/>
      <c r="J33" s="1686"/>
      <c r="K33" s="2473"/>
      <c r="L33" s="1686"/>
      <c r="M33" s="1686"/>
      <c r="N33" s="1686"/>
      <c r="O33" s="1686"/>
      <c r="P33" s="1686"/>
      <c r="Q33" s="1686"/>
      <c r="R33" s="1686"/>
      <c r="S33" s="1686"/>
      <c r="T33" s="1686"/>
      <c r="U33" s="1686"/>
    </row>
    <row r="34" spans="1:21">
      <c r="A34" s="3364"/>
      <c r="B34" s="1654" t="s">
        <v>2005</v>
      </c>
      <c r="C34" s="3365"/>
      <c r="D34" s="3366"/>
      <c r="E34" s="1686"/>
      <c r="F34" s="1686"/>
      <c r="G34" s="1686"/>
      <c r="H34" s="1686"/>
      <c r="I34" s="1699"/>
      <c r="J34" s="1686"/>
      <c r="K34" s="2473"/>
      <c r="L34" s="1686"/>
      <c r="M34" s="1686"/>
      <c r="N34" s="1686"/>
      <c r="O34" s="1686"/>
      <c r="P34" s="1686"/>
      <c r="Q34" s="1686"/>
      <c r="R34" s="1686"/>
      <c r="S34" s="1686"/>
      <c r="T34" s="1686"/>
      <c r="U34" s="1686"/>
    </row>
    <row r="35" spans="1:21" ht="28.5">
      <c r="A35" s="3367" t="s">
        <v>846</v>
      </c>
      <c r="B35" s="1714" t="s">
        <v>2999</v>
      </c>
      <c r="C35" s="1768" t="str">
        <f>IF(B35="场地平整","——","具体情况：")</f>
        <v>具体情况：</v>
      </c>
      <c r="D35" s="3369"/>
      <c r="E35" s="3370"/>
      <c r="F35" s="3370"/>
      <c r="G35" s="3370"/>
      <c r="H35" s="3370"/>
      <c r="I35" s="3371"/>
      <c r="J35" s="1686"/>
      <c r="K35" s="1767"/>
      <c r="L35" s="1715"/>
      <c r="M35" s="1715"/>
      <c r="N35" s="1686"/>
      <c r="O35" s="1687"/>
      <c r="P35" s="1686"/>
      <c r="Q35" s="1686"/>
      <c r="R35" s="1686"/>
      <c r="S35" s="1686"/>
      <c r="T35" s="1686"/>
      <c r="U35" s="1686"/>
    </row>
    <row r="36" spans="1:21">
      <c r="A36" s="3363"/>
      <c r="B36" s="3372" t="s">
        <v>2054</v>
      </c>
      <c r="C36" s="3373"/>
      <c r="D36" s="1784"/>
      <c r="E36" s="3374"/>
      <c r="F36" s="3374"/>
      <c r="G36" s="1679" t="str">
        <f>IF(B35="场地未平整","估价结果处理","")</f>
        <v/>
      </c>
      <c r="H36" s="3375"/>
      <c r="I36" s="3375"/>
      <c r="J36" s="1686"/>
      <c r="K36" s="1767"/>
      <c r="L36" s="1715"/>
      <c r="M36" s="1715"/>
      <c r="N36" s="1686"/>
      <c r="O36" s="1687"/>
      <c r="P36" s="1686"/>
      <c r="Q36" s="1686"/>
      <c r="R36" s="1686"/>
      <c r="S36" s="1686"/>
      <c r="T36" s="1686"/>
      <c r="U36" s="1686"/>
    </row>
    <row r="37" spans="1:21" ht="28.5">
      <c r="A37" s="3363"/>
      <c r="B37" s="3352" t="s">
        <v>847</v>
      </c>
      <c r="C37" s="1716" t="s">
        <v>848</v>
      </c>
      <c r="D37" s="1717"/>
      <c r="E37" s="1718"/>
      <c r="F37" s="1686"/>
      <c r="G37" s="1686"/>
      <c r="H37" s="1686"/>
      <c r="I37" s="1699"/>
      <c r="J37" s="1686"/>
      <c r="K37" s="1767"/>
      <c r="L37" s="1686"/>
      <c r="M37" s="1686"/>
      <c r="N37" s="1686"/>
      <c r="O37" s="1686"/>
      <c r="P37" s="1686"/>
      <c r="Q37" s="1686"/>
      <c r="R37" s="1686"/>
      <c r="S37" s="1686"/>
      <c r="T37" s="1686"/>
      <c r="U37" s="1686"/>
    </row>
    <row r="38" spans="1:21">
      <c r="A38" s="3363"/>
      <c r="B38" s="3353"/>
      <c r="C38" s="1662" t="s">
        <v>849</v>
      </c>
      <c r="D38" s="1783">
        <f>ROUNDDOWN(MIN(('数据-取费表'!$B$2-D37)/365,D34),1)</f>
        <v>118.6</v>
      </c>
      <c r="E38" s="1719" t="s">
        <v>850</v>
      </c>
      <c r="F38" s="1686"/>
      <c r="G38" s="1686"/>
      <c r="H38" s="1686"/>
      <c r="I38" s="1699"/>
      <c r="J38" s="1686"/>
      <c r="K38" s="1767"/>
      <c r="L38" s="1686"/>
      <c r="M38" s="1686"/>
      <c r="N38" s="1686"/>
      <c r="O38" s="1686"/>
      <c r="P38" s="1686"/>
      <c r="Q38" s="1686"/>
      <c r="R38" s="1686"/>
      <c r="S38" s="1686"/>
      <c r="T38" s="1686"/>
      <c r="U38" s="1686"/>
    </row>
    <row r="39" spans="1:21">
      <c r="A39" s="3364"/>
      <c r="B39" s="3354"/>
      <c r="C39" s="1689" t="str">
        <f>IF(D38&lt;1,"不存在土地闲置",IF(B35="宗地内已开工建设","已开工，不存在土地闲置","估价对象已涉嫌土地闲置"))</f>
        <v>已开工，不存在土地闲置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335" t="s">
        <v>1986</v>
      </c>
      <c r="T40" s="1723" t="str">
        <f>NUMBERSTRING(7-K40,1)&amp;"通"</f>
        <v>七通</v>
      </c>
      <c r="U40" s="1686"/>
    </row>
    <row r="41" spans="1:21">
      <c r="A41" s="1656"/>
      <c r="B41" s="3368" t="s">
        <v>1721</v>
      </c>
      <c r="C41" s="3368"/>
      <c r="D41" s="3368"/>
      <c r="E41" s="3368"/>
      <c r="F41" s="1724" t="str">
        <f>C10</f>
        <v>天津市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335"/>
      <c r="T41" s="1725" t="str">
        <f>IF(T40="一通",L41,IF(T40="二通",M41,IF(T40="三通",N41,IF(T40="四通",O41,IF(T40="五通",P41,IF(T40="六通",Q41,R41))))))</f>
        <v>通路、通电、通讯、通上水、通下水、通热、燃气</v>
      </c>
      <c r="U41" s="1686"/>
    </row>
    <row r="42" spans="1:21">
      <c r="A42" s="1727"/>
      <c r="B42" s="1758" t="s">
        <v>1897</v>
      </c>
      <c r="C42" s="1758" t="s">
        <v>1898</v>
      </c>
      <c r="D42" s="1758" t="s">
        <v>1899</v>
      </c>
      <c r="E42" s="1691" t="s">
        <v>1900</v>
      </c>
      <c r="F42" s="1728"/>
      <c r="G42" s="1686"/>
      <c r="H42" s="1686"/>
      <c r="I42" s="1699"/>
      <c r="J42" s="1686"/>
      <c r="K42" s="1766"/>
      <c r="L42" s="1715"/>
      <c r="M42" s="1715"/>
      <c r="N42" s="1686"/>
      <c r="O42" s="1687"/>
      <c r="P42" s="1686"/>
      <c r="Q42" s="1686"/>
      <c r="R42" s="1686"/>
      <c r="S42" s="1686"/>
      <c r="T42" s="1686"/>
      <c r="U42" s="1686"/>
    </row>
    <row r="43" spans="1:21">
      <c r="A43" s="1729" t="s">
        <v>1706</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1707</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86" customFormat="1" ht="21" thickBot="1">
      <c r="A45" s="3087" t="s">
        <v>2890</v>
      </c>
      <c r="B45" s="3082"/>
      <c r="C45" s="3082"/>
      <c r="D45" s="3082"/>
      <c r="E45" s="3082"/>
      <c r="F45" s="3082"/>
      <c r="G45" s="3082"/>
      <c r="H45" s="3082"/>
      <c r="I45" s="3083"/>
      <c r="J45" s="3082"/>
      <c r="K45" s="3084"/>
      <c r="L45" s="3085"/>
      <c r="M45" s="3085"/>
      <c r="N45" s="3082"/>
      <c r="O45" s="3083"/>
      <c r="P45" s="3082"/>
      <c r="Q45" s="3082"/>
      <c r="R45" s="3082"/>
      <c r="S45" s="3082"/>
      <c r="T45" s="3082"/>
      <c r="U45" s="3082"/>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1" t="s">
        <v>2333</v>
      </c>
      <c r="BA2" s="2352"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122036.3</v>
      </c>
      <c r="B3" s="22">
        <f>IF(C3="否",G5-AT5,G5)</f>
        <v>290104.68000000005</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290104.68000000005</v>
      </c>
      <c r="H5" s="27">
        <f t="shared" ref="H5:AT5" si="0">SUM(H13:H641)</f>
        <v>266527.86000000004</v>
      </c>
      <c r="I5" s="27">
        <f t="shared" si="0"/>
        <v>190061.16</v>
      </c>
      <c r="J5" s="27">
        <f t="shared" si="0"/>
        <v>0</v>
      </c>
      <c r="K5" s="27">
        <f t="shared" si="0"/>
        <v>4866.7</v>
      </c>
      <c r="L5" s="27">
        <f t="shared" si="0"/>
        <v>0</v>
      </c>
      <c r="M5" s="27">
        <f t="shared" si="0"/>
        <v>71600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23576.82</v>
      </c>
      <c r="AD5" s="27">
        <f t="shared" si="0"/>
        <v>20122</v>
      </c>
      <c r="AE5" s="27">
        <f t="shared" si="0"/>
        <v>0</v>
      </c>
      <c r="AF5" s="27">
        <f t="shared" si="0"/>
        <v>0</v>
      </c>
      <c r="AG5" s="27">
        <f t="shared" si="0"/>
        <v>0</v>
      </c>
      <c r="AH5" s="27">
        <f t="shared" si="0"/>
        <v>2293.63</v>
      </c>
      <c r="AI5" s="27">
        <f t="shared" si="0"/>
        <v>0</v>
      </c>
      <c r="AJ5" s="27">
        <f t="shared" si="0"/>
        <v>0</v>
      </c>
      <c r="AK5" s="27">
        <f t="shared" si="0"/>
        <v>0</v>
      </c>
      <c r="AL5" s="27">
        <f t="shared" si="0"/>
        <v>1161.1899999999996</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165200.35999999996</v>
      </c>
      <c r="BA5" s="29">
        <f t="shared" si="1"/>
        <v>141623.53999999995</v>
      </c>
      <c r="BB5" s="29">
        <f t="shared" si="1"/>
        <v>65156.839999999946</v>
      </c>
      <c r="BC5" s="29">
        <f t="shared" si="1"/>
        <v>4866.7</v>
      </c>
      <c r="BD5" s="29">
        <f t="shared" si="1"/>
        <v>71600</v>
      </c>
      <c r="BE5" s="29">
        <f t="shared" si="1"/>
        <v>0</v>
      </c>
      <c r="BF5" s="29">
        <f t="shared" si="1"/>
        <v>0</v>
      </c>
      <c r="BG5" s="29">
        <f t="shared" si="1"/>
        <v>0</v>
      </c>
      <c r="BH5" s="29">
        <f t="shared" si="1"/>
        <v>0</v>
      </c>
      <c r="BI5" s="29">
        <f t="shared" si="1"/>
        <v>0</v>
      </c>
      <c r="BJ5" s="29">
        <f t="shared" si="1"/>
        <v>0</v>
      </c>
      <c r="BK5" s="29">
        <f t="shared" si="1"/>
        <v>0</v>
      </c>
      <c r="BL5" s="29">
        <f t="shared" si="1"/>
        <v>23576.82</v>
      </c>
      <c r="BM5" s="29">
        <f t="shared" si="1"/>
        <v>20122</v>
      </c>
      <c r="BN5" s="29">
        <f t="shared" si="1"/>
        <v>0</v>
      </c>
      <c r="BO5" s="29">
        <f t="shared" si="1"/>
        <v>2293.63</v>
      </c>
      <c r="BP5" s="29">
        <f t="shared" si="1"/>
        <v>0</v>
      </c>
      <c r="BQ5" s="29">
        <f t="shared" si="1"/>
        <v>1161.1899999999996</v>
      </c>
      <c r="BR5" s="29">
        <f t="shared" si="1"/>
        <v>0</v>
      </c>
      <c r="BS5" s="29">
        <f t="shared" si="1"/>
        <v>0</v>
      </c>
      <c r="BT5" s="30">
        <f t="shared" si="1"/>
        <v>0</v>
      </c>
    </row>
    <row r="6" spans="1:72" s="37" customFormat="1" ht="12.75">
      <c r="A6" s="26" t="s">
        <v>169</v>
      </c>
      <c r="B6" s="31"/>
      <c r="C6" s="31"/>
      <c r="D6" s="32"/>
      <c r="E6" s="27">
        <f>H6+AC6+AT6</f>
        <v>122036.3</v>
      </c>
      <c r="F6" s="27" t="s">
        <v>1</v>
      </c>
      <c r="G6" s="27" t="s">
        <v>2</v>
      </c>
      <c r="H6" s="33">
        <f>SUMIF(I$12:AB$12,"总值",I6:AB6)</f>
        <v>112118.40000000001</v>
      </c>
      <c r="I6" s="27">
        <f t="shared" ref="I6:AB6" si="2">ROUND($A$3*I5/$B$3,2)</f>
        <v>79951.69</v>
      </c>
      <c r="J6" s="27">
        <f t="shared" si="2"/>
        <v>0</v>
      </c>
      <c r="K6" s="27">
        <f t="shared" si="2"/>
        <v>2047.24</v>
      </c>
      <c r="L6" s="27">
        <f t="shared" si="2"/>
        <v>0</v>
      </c>
      <c r="M6" s="27">
        <f t="shared" si="2"/>
        <v>30119.47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9917.9</v>
      </c>
      <c r="AD6" s="27">
        <f t="shared" ref="AD6:AS6" si="3">ROUND($A$3*AD5/$B$3,2)</f>
        <v>8464.58</v>
      </c>
      <c r="AE6" s="27">
        <f t="shared" si="3"/>
        <v>0</v>
      </c>
      <c r="AF6" s="27">
        <f t="shared" si="3"/>
        <v>0</v>
      </c>
      <c r="AG6" s="27">
        <f t="shared" si="3"/>
        <v>0</v>
      </c>
      <c r="AH6" s="27">
        <f t="shared" si="3"/>
        <v>964.85</v>
      </c>
      <c r="AI6" s="27">
        <f t="shared" si="3"/>
        <v>0</v>
      </c>
      <c r="AJ6" s="27">
        <f t="shared" si="3"/>
        <v>0</v>
      </c>
      <c r="AK6" s="27">
        <f t="shared" si="3"/>
        <v>0</v>
      </c>
      <c r="AL6" s="27">
        <f t="shared" si="3"/>
        <v>488.47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69493.679999999993</v>
      </c>
      <c r="AZ6" s="27" t="s">
        <v>3</v>
      </c>
      <c r="BA6" s="27">
        <f>ROUND($AY$6*BA5/$AZ$5,2)</f>
        <v>59575.78</v>
      </c>
      <c r="BB6" s="27">
        <f>ROUND($AY$6*BB5/$AZ$5,2)</f>
        <v>27409.07</v>
      </c>
      <c r="BC6" s="27">
        <f t="shared" ref="BC6:BH6" si="4">ROUND($AY$6*BC5/$AZ$5,2)</f>
        <v>2047.24</v>
      </c>
      <c r="BD6" s="27">
        <f t="shared" si="4"/>
        <v>30119.47</v>
      </c>
      <c r="BE6" s="27">
        <f t="shared" si="4"/>
        <v>0</v>
      </c>
      <c r="BF6" s="27">
        <f t="shared" si="4"/>
        <v>0</v>
      </c>
      <c r="BG6" s="27">
        <f t="shared" si="4"/>
        <v>0</v>
      </c>
      <c r="BH6" s="27">
        <f t="shared" si="4"/>
        <v>0</v>
      </c>
      <c r="BI6" s="27">
        <f t="shared" ref="BI6:BT6" si="5">ROUND($AY$6*BI5/$AZ$5,2)</f>
        <v>0</v>
      </c>
      <c r="BJ6" s="27">
        <f t="shared" si="5"/>
        <v>0</v>
      </c>
      <c r="BK6" s="27">
        <f t="shared" si="5"/>
        <v>0</v>
      </c>
      <c r="BL6" s="27">
        <f t="shared" si="5"/>
        <v>9917.9</v>
      </c>
      <c r="BM6" s="27">
        <f t="shared" si="5"/>
        <v>8464.58</v>
      </c>
      <c r="BN6" s="27">
        <f t="shared" si="5"/>
        <v>0</v>
      </c>
      <c r="BO6" s="27">
        <f t="shared" si="5"/>
        <v>964.85</v>
      </c>
      <c r="BP6" s="27">
        <f t="shared" si="5"/>
        <v>0</v>
      </c>
      <c r="BQ6" s="27">
        <f t="shared" si="5"/>
        <v>488.47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8"/>
      <c r="AT8" s="2319"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32" t="s">
        <v>3954</v>
      </c>
      <c r="J9" s="51"/>
      <c r="K9" s="3032" t="s">
        <v>3954</v>
      </c>
      <c r="L9" s="51"/>
      <c r="M9" s="3032" t="s">
        <v>4047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0"/>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32" t="s">
        <v>922</v>
      </c>
      <c r="J10" s="51"/>
      <c r="K10" s="3034" t="s">
        <v>2993</v>
      </c>
      <c r="L10" s="51"/>
      <c r="M10" s="3034" t="s">
        <v>4048</v>
      </c>
      <c r="N10" s="51"/>
      <c r="O10" s="66"/>
      <c r="P10" s="51"/>
      <c r="Q10" s="66"/>
      <c r="R10" s="51"/>
      <c r="S10" s="66"/>
      <c r="T10" s="51"/>
      <c r="U10" s="66"/>
      <c r="V10" s="51"/>
      <c r="W10" s="66"/>
      <c r="X10" s="51"/>
      <c r="Y10" s="66"/>
      <c r="Z10" s="51"/>
      <c r="AA10" s="66"/>
      <c r="AB10" s="51"/>
      <c r="AC10" s="55"/>
      <c r="AD10" s="2305" t="s">
        <v>2317</v>
      </c>
      <c r="AE10" s="2327"/>
      <c r="AF10" s="2305" t="s">
        <v>2317</v>
      </c>
      <c r="AG10" s="2327"/>
      <c r="AH10" s="2305" t="s">
        <v>2318</v>
      </c>
      <c r="AI10" s="2327"/>
      <c r="AJ10" s="26" t="s">
        <v>2331</v>
      </c>
      <c r="AK10" s="2324"/>
      <c r="AL10" s="2305" t="s">
        <v>2319</v>
      </c>
      <c r="AM10" s="2306"/>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33" t="s">
        <v>3955</v>
      </c>
      <c r="J11" s="71"/>
      <c r="K11" s="3033" t="s">
        <v>4044</v>
      </c>
      <c r="L11" s="71"/>
      <c r="M11" s="70" t="s">
        <v>4048</v>
      </c>
      <c r="N11" s="71"/>
      <c r="O11" s="70"/>
      <c r="P11" s="71"/>
      <c r="Q11" s="70"/>
      <c r="R11" s="71"/>
      <c r="S11" s="70"/>
      <c r="T11" s="71"/>
      <c r="U11" s="70"/>
      <c r="V11" s="71"/>
      <c r="W11" s="70"/>
      <c r="X11" s="71"/>
      <c r="Y11" s="70"/>
      <c r="Z11" s="71"/>
      <c r="AA11" s="70"/>
      <c r="AB11" s="71"/>
      <c r="AC11" s="55"/>
      <c r="AD11" s="2325" t="s">
        <v>2330</v>
      </c>
      <c r="AE11" s="997"/>
      <c r="AF11" s="2325" t="s">
        <v>2330</v>
      </c>
      <c r="AG11" s="997"/>
      <c r="AH11" s="2325" t="s">
        <v>2329</v>
      </c>
      <c r="AI11" s="2326"/>
      <c r="AJ11" s="2325" t="s">
        <v>2329</v>
      </c>
      <c r="AK11" s="2324"/>
      <c r="AL11" s="995"/>
      <c r="AM11" s="997"/>
      <c r="AN11" s="995"/>
      <c r="AO11" s="997"/>
      <c r="AP11" s="1183"/>
      <c r="AQ11" s="1185"/>
      <c r="AR11" s="1183"/>
      <c r="AS11" s="1185"/>
      <c r="AT11" s="998"/>
      <c r="AU11" s="45"/>
      <c r="AV11" s="55"/>
      <c r="AW11" s="998"/>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29"/>
      <c r="B13" s="3029"/>
      <c r="C13" s="3029" t="s">
        <v>3941</v>
      </c>
      <c r="D13" s="3030" t="s">
        <v>2996</v>
      </c>
      <c r="E13" s="27">
        <f t="shared" ref="E13:E20" si="6">IF($C$3="是",ROUND($A$3*G13/$B$3,2),ROUND($A$3*(G13-AT13)/$B$3,2))</f>
        <v>4580.54</v>
      </c>
      <c r="F13" s="81"/>
      <c r="G13" s="82">
        <f t="shared" ref="G13:G20" si="7">H13+AC13+AT13</f>
        <v>10888.850000000008</v>
      </c>
      <c r="H13" s="33">
        <f t="shared" ref="H13:H20" si="8">SUMIF(I$12:AB$12,"总值",I13:AB13)</f>
        <v>10888.850000000008</v>
      </c>
      <c r="I13" s="3031">
        <f>已售汇总!B2</f>
        <v>10888.850000000008</v>
      </c>
      <c r="J13" s="3031"/>
      <c r="K13" s="3031"/>
      <c r="L13" s="3031"/>
      <c r="M13" s="3031"/>
      <c r="N13" s="83"/>
      <c r="O13" s="83"/>
      <c r="P13" s="83"/>
      <c r="Q13" s="83"/>
      <c r="R13" s="83"/>
      <c r="S13" s="83"/>
      <c r="T13" s="83"/>
      <c r="U13" s="83"/>
      <c r="V13" s="83"/>
      <c r="W13" s="83"/>
      <c r="X13" s="83"/>
      <c r="Y13" s="83"/>
      <c r="Z13" s="83"/>
      <c r="AA13" s="83"/>
      <c r="AB13" s="83"/>
      <c r="AC13" s="27">
        <f t="shared" ref="AC13:AC20" si="9">SUMIF(AD$12:AS$12,"总值",AD13:AS13)</f>
        <v>0</v>
      </c>
      <c r="AD13" s="3035"/>
      <c r="AE13" s="3035"/>
      <c r="AF13" s="3035"/>
      <c r="AG13" s="3035"/>
      <c r="AH13" s="3035"/>
      <c r="AI13" s="3035"/>
      <c r="AJ13" s="3035"/>
      <c r="AK13" s="3035"/>
      <c r="AL13" s="3035"/>
      <c r="AM13" s="3035"/>
      <c r="AN13" s="3035"/>
      <c r="AO13" s="3035"/>
      <c r="AP13" s="3035"/>
      <c r="AQ13" s="3035"/>
      <c r="AR13" s="3035"/>
      <c r="AS13" s="3035"/>
      <c r="AT13" s="3036"/>
      <c r="AU13" s="3037"/>
      <c r="AV13" s="17">
        <f t="shared" ref="AV13:AX20" si="10">A13</f>
        <v>0</v>
      </c>
      <c r="AW13" s="17">
        <f t="shared" si="10"/>
        <v>0</v>
      </c>
      <c r="AX13" s="17" t="str">
        <f t="shared" si="10"/>
        <v>1#已售</v>
      </c>
      <c r="AY13" s="991">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29" t="s">
        <v>3942</v>
      </c>
      <c r="D14" s="3030" t="s">
        <v>2996</v>
      </c>
      <c r="E14" s="27">
        <f t="shared" si="6"/>
        <v>2845.22</v>
      </c>
      <c r="F14" s="81"/>
      <c r="G14" s="82">
        <f t="shared" si="7"/>
        <v>6763.6599999999971</v>
      </c>
      <c r="H14" s="33">
        <f t="shared" si="8"/>
        <v>6763.6599999999971</v>
      </c>
      <c r="I14" s="3031">
        <f>已售汇总!B3</f>
        <v>6763.6599999999971</v>
      </c>
      <c r="J14" s="3031"/>
      <c r="K14" s="3031"/>
      <c r="L14" s="3031"/>
      <c r="M14" s="3031"/>
      <c r="N14" s="83"/>
      <c r="O14" s="83"/>
      <c r="P14" s="83"/>
      <c r="Q14" s="83"/>
      <c r="R14" s="83"/>
      <c r="S14" s="83"/>
      <c r="T14" s="83"/>
      <c r="U14" s="83"/>
      <c r="V14" s="83"/>
      <c r="W14" s="83"/>
      <c r="X14" s="83"/>
      <c r="Y14" s="83"/>
      <c r="Z14" s="83"/>
      <c r="AA14" s="83"/>
      <c r="AB14" s="83"/>
      <c r="AC14" s="27">
        <f t="shared" si="9"/>
        <v>0</v>
      </c>
      <c r="AD14" s="3035"/>
      <c r="AE14" s="3035"/>
      <c r="AF14" s="3035"/>
      <c r="AG14" s="3035"/>
      <c r="AH14" s="3035"/>
      <c r="AI14" s="3035"/>
      <c r="AJ14" s="3035"/>
      <c r="AK14" s="3035"/>
      <c r="AL14" s="3035"/>
      <c r="AM14" s="3035"/>
      <c r="AN14" s="3035"/>
      <c r="AO14" s="3035"/>
      <c r="AP14" s="3035"/>
      <c r="AQ14" s="3035"/>
      <c r="AR14" s="3035"/>
      <c r="AS14" s="3035"/>
      <c r="AT14" s="3036"/>
      <c r="AU14" s="3037"/>
      <c r="AV14" s="17">
        <f t="shared" si="10"/>
        <v>0</v>
      </c>
      <c r="AW14" s="17">
        <f t="shared" si="10"/>
        <v>0</v>
      </c>
      <c r="AX14" s="17" t="str">
        <f t="shared" si="10"/>
        <v>2#已售</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29" t="s">
        <v>3919</v>
      </c>
      <c r="D15" s="3030" t="s">
        <v>2996</v>
      </c>
      <c r="E15" s="27">
        <f t="shared" si="6"/>
        <v>3238.5</v>
      </c>
      <c r="F15" s="81"/>
      <c r="G15" s="82">
        <f t="shared" si="7"/>
        <v>7698.5499999999975</v>
      </c>
      <c r="H15" s="33">
        <f t="shared" si="8"/>
        <v>7698.5499999999975</v>
      </c>
      <c r="I15" s="3031">
        <f>已售汇总!B4</f>
        <v>7698.5499999999975</v>
      </c>
      <c r="J15" s="3031"/>
      <c r="K15" s="3031"/>
      <c r="L15" s="3031"/>
      <c r="M15" s="3031"/>
      <c r="N15" s="83"/>
      <c r="O15" s="83"/>
      <c r="P15" s="83"/>
      <c r="Q15" s="83"/>
      <c r="R15" s="83"/>
      <c r="S15" s="83"/>
      <c r="T15" s="83"/>
      <c r="U15" s="83"/>
      <c r="V15" s="83"/>
      <c r="W15" s="83"/>
      <c r="X15" s="83"/>
      <c r="Y15" s="83"/>
      <c r="Z15" s="83"/>
      <c r="AA15" s="83"/>
      <c r="AB15" s="83"/>
      <c r="AC15" s="27">
        <f t="shared" si="9"/>
        <v>0</v>
      </c>
      <c r="AD15" s="3035"/>
      <c r="AE15" s="3035"/>
      <c r="AF15" s="3035"/>
      <c r="AG15" s="3035"/>
      <c r="AH15" s="3035"/>
      <c r="AI15" s="3035"/>
      <c r="AJ15" s="3035"/>
      <c r="AK15" s="3035"/>
      <c r="AL15" s="3035"/>
      <c r="AM15" s="3035"/>
      <c r="AN15" s="3035"/>
      <c r="AO15" s="3035"/>
      <c r="AP15" s="3035"/>
      <c r="AQ15" s="3035"/>
      <c r="AR15" s="3035"/>
      <c r="AS15" s="3035"/>
      <c r="AT15" s="3036"/>
      <c r="AU15" s="3037"/>
      <c r="AV15" s="17">
        <f t="shared" si="10"/>
        <v>0</v>
      </c>
      <c r="AW15" s="17">
        <f t="shared" si="10"/>
        <v>0</v>
      </c>
      <c r="AX15" s="17" t="str">
        <f t="shared" si="10"/>
        <v>3#已售</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29"/>
      <c r="B16" s="3029"/>
      <c r="C16" s="3029" t="s">
        <v>3943</v>
      </c>
      <c r="D16" s="3030" t="s">
        <v>2996</v>
      </c>
      <c r="E16" s="27">
        <f t="shared" si="6"/>
        <v>5040.32</v>
      </c>
      <c r="F16" s="81"/>
      <c r="G16" s="82">
        <f t="shared" si="7"/>
        <v>11981.859999999999</v>
      </c>
      <c r="H16" s="33">
        <f t="shared" si="8"/>
        <v>11981.859999999999</v>
      </c>
      <c r="I16" s="3031">
        <f>已售汇总!B5</f>
        <v>11981.859999999999</v>
      </c>
      <c r="J16" s="3031"/>
      <c r="K16" s="3031"/>
      <c r="L16" s="3031"/>
      <c r="M16" s="3031"/>
      <c r="N16" s="83"/>
      <c r="O16" s="83"/>
      <c r="P16" s="83"/>
      <c r="Q16" s="83"/>
      <c r="R16" s="83"/>
      <c r="S16" s="83"/>
      <c r="T16" s="83"/>
      <c r="U16" s="83"/>
      <c r="V16" s="83"/>
      <c r="W16" s="83"/>
      <c r="X16" s="83"/>
      <c r="Y16" s="83"/>
      <c r="Z16" s="83"/>
      <c r="AA16" s="83"/>
      <c r="AB16" s="83"/>
      <c r="AC16" s="27">
        <f t="shared" si="9"/>
        <v>0</v>
      </c>
      <c r="AD16" s="3035"/>
      <c r="AE16" s="3035"/>
      <c r="AF16" s="3035"/>
      <c r="AG16" s="3035"/>
      <c r="AH16" s="3035"/>
      <c r="AI16" s="3035"/>
      <c r="AJ16" s="3035"/>
      <c r="AK16" s="3035"/>
      <c r="AL16" s="3035"/>
      <c r="AM16" s="3035"/>
      <c r="AN16" s="3035"/>
      <c r="AO16" s="3035"/>
      <c r="AP16" s="3035"/>
      <c r="AQ16" s="3035"/>
      <c r="AR16" s="3035"/>
      <c r="AS16" s="3035"/>
      <c r="AT16" s="3036"/>
      <c r="AU16" s="3037"/>
      <c r="AV16" s="17">
        <f t="shared" si="10"/>
        <v>0</v>
      </c>
      <c r="AW16" s="17">
        <f t="shared" si="10"/>
        <v>0</v>
      </c>
      <c r="AX16" s="17" t="str">
        <f t="shared" si="10"/>
        <v>4#已售</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29" t="s">
        <v>3944</v>
      </c>
      <c r="D17" s="3030" t="s">
        <v>2996</v>
      </c>
      <c r="E17" s="27">
        <f t="shared" si="6"/>
        <v>5448.2</v>
      </c>
      <c r="F17" s="81"/>
      <c r="G17" s="82">
        <f t="shared" si="7"/>
        <v>12951.459999999995</v>
      </c>
      <c r="H17" s="33">
        <f t="shared" si="8"/>
        <v>12951.459999999995</v>
      </c>
      <c r="I17" s="3031">
        <f>已售汇总!B6</f>
        <v>12951.459999999995</v>
      </c>
      <c r="J17" s="3031"/>
      <c r="K17" s="3031"/>
      <c r="L17" s="3031"/>
      <c r="M17" s="3031"/>
      <c r="N17" s="83"/>
      <c r="O17" s="83"/>
      <c r="P17" s="83"/>
      <c r="Q17" s="83"/>
      <c r="R17" s="83"/>
      <c r="S17" s="83"/>
      <c r="T17" s="83"/>
      <c r="U17" s="83"/>
      <c r="V17" s="83"/>
      <c r="W17" s="83"/>
      <c r="X17" s="83"/>
      <c r="Y17" s="83"/>
      <c r="Z17" s="83"/>
      <c r="AA17" s="83"/>
      <c r="AB17" s="83"/>
      <c r="AC17" s="27">
        <f t="shared" si="9"/>
        <v>0</v>
      </c>
      <c r="AD17" s="3035"/>
      <c r="AE17" s="3035"/>
      <c r="AF17" s="3035"/>
      <c r="AG17" s="3035"/>
      <c r="AH17" s="3035"/>
      <c r="AI17" s="3035"/>
      <c r="AJ17" s="3035"/>
      <c r="AK17" s="3035"/>
      <c r="AL17" s="3035"/>
      <c r="AM17" s="3035"/>
      <c r="AN17" s="3035"/>
      <c r="AO17" s="3035"/>
      <c r="AP17" s="3035"/>
      <c r="AQ17" s="3035"/>
      <c r="AR17" s="3035"/>
      <c r="AS17" s="3035"/>
      <c r="AT17" s="3036"/>
      <c r="AU17" s="3037"/>
      <c r="AV17" s="17">
        <f t="shared" si="10"/>
        <v>0</v>
      </c>
      <c r="AW17" s="17">
        <f t="shared" si="10"/>
        <v>0</v>
      </c>
      <c r="AX17" s="17" t="str">
        <f t="shared" si="10"/>
        <v>5#已售</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29" t="s">
        <v>3945</v>
      </c>
      <c r="D18" s="3030" t="s">
        <v>2996</v>
      </c>
      <c r="E18" s="87">
        <f t="shared" si="6"/>
        <v>3408.75</v>
      </c>
      <c r="F18" s="88"/>
      <c r="G18" s="89">
        <f t="shared" si="7"/>
        <v>8103.2799999999979</v>
      </c>
      <c r="H18" s="90">
        <f t="shared" si="8"/>
        <v>8103.2799999999979</v>
      </c>
      <c r="I18" s="1388">
        <f>已售汇总!B7</f>
        <v>8103.2799999999979</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t="str">
        <f t="shared" si="10"/>
        <v>6#已售</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3029" t="s">
        <v>3946</v>
      </c>
      <c r="D19" s="3030" t="s">
        <v>2996</v>
      </c>
      <c r="E19" s="87">
        <f t="shared" si="6"/>
        <v>3796.77</v>
      </c>
      <c r="F19" s="88"/>
      <c r="G19" s="89">
        <f t="shared" si="7"/>
        <v>9025.6700000000073</v>
      </c>
      <c r="H19" s="90">
        <f t="shared" si="8"/>
        <v>9025.6700000000073</v>
      </c>
      <c r="I19" s="1388">
        <f>已售汇总!B8</f>
        <v>9025.6700000000073</v>
      </c>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t="str">
        <f t="shared" si="10"/>
        <v>7#已售</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3029" t="s">
        <v>3947</v>
      </c>
      <c r="D20" s="3030" t="s">
        <v>2996</v>
      </c>
      <c r="E20" s="87">
        <f t="shared" si="6"/>
        <v>4386.0600000000004</v>
      </c>
      <c r="F20" s="88"/>
      <c r="G20" s="89">
        <f t="shared" si="7"/>
        <v>10426.530000000006</v>
      </c>
      <c r="H20" s="90">
        <f t="shared" si="8"/>
        <v>10426.530000000006</v>
      </c>
      <c r="I20" s="1388">
        <f>已售汇总!B9</f>
        <v>10426.530000000006</v>
      </c>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t="str">
        <f t="shared" si="10"/>
        <v>8#已售</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3029" t="s">
        <v>3948</v>
      </c>
      <c r="D21" s="3030" t="s">
        <v>2996</v>
      </c>
      <c r="E21" s="87">
        <f t="shared" ref="E21:E112" si="33">IF($C$3="是",ROUND($A$3*G21/$B$3,2),ROUND($A$3*(G21-AT21)/$B$3,2))</f>
        <v>4890.1899999999996</v>
      </c>
      <c r="F21" s="88"/>
      <c r="G21" s="89">
        <f t="shared" ref="G21:G109" si="34">H21+AC21+AT21</f>
        <v>11624.960000000021</v>
      </c>
      <c r="H21" s="90">
        <f t="shared" ref="H21:H109" si="35">SUMIF(I$12:AB$12,"总值",I21:AB21)</f>
        <v>11624.960000000021</v>
      </c>
      <c r="I21" s="1390">
        <f>已售汇总!B10</f>
        <v>11624.960000000021</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t="str">
        <f t="shared" ref="AX21:AX112" si="39">C21</f>
        <v>9#已售</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3029" t="s">
        <v>3949</v>
      </c>
      <c r="D22" s="3030" t="s">
        <v>2996</v>
      </c>
      <c r="E22" s="87">
        <f t="shared" si="33"/>
        <v>1547.95</v>
      </c>
      <c r="F22" s="88"/>
      <c r="G22" s="89">
        <f t="shared" si="34"/>
        <v>3679.7900000000022</v>
      </c>
      <c r="H22" s="90">
        <f t="shared" si="35"/>
        <v>3679.7900000000022</v>
      </c>
      <c r="I22" s="1390">
        <f>已售汇总!B12</f>
        <v>3679.7900000000022</v>
      </c>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72">
        <f t="shared" si="37"/>
        <v>0</v>
      </c>
      <c r="AW22" s="1972">
        <f t="shared" si="38"/>
        <v>0</v>
      </c>
      <c r="AX22" s="1972" t="str">
        <f t="shared" si="39"/>
        <v>10#已售</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3029" t="s">
        <v>3951</v>
      </c>
      <c r="D23" s="3030" t="s">
        <v>2996</v>
      </c>
      <c r="E23" s="87">
        <f t="shared" si="33"/>
        <v>1785.37</v>
      </c>
      <c r="F23" s="88"/>
      <c r="G23" s="89">
        <f t="shared" si="34"/>
        <v>4244.1899999999996</v>
      </c>
      <c r="H23" s="90">
        <f t="shared" si="35"/>
        <v>4244.1899999999996</v>
      </c>
      <c r="I23" s="1390">
        <f>已售汇总!B13</f>
        <v>4244.1899999999996</v>
      </c>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72">
        <f t="shared" si="37"/>
        <v>0</v>
      </c>
      <c r="AW23" s="1972">
        <f t="shared" si="38"/>
        <v>0</v>
      </c>
      <c r="AX23" s="1972" t="str">
        <f t="shared" si="39"/>
        <v>12#已售</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3029" t="s">
        <v>3952</v>
      </c>
      <c r="D24" s="3030" t="s">
        <v>2996</v>
      </c>
      <c r="E24" s="87">
        <f t="shared" si="33"/>
        <v>1205.82</v>
      </c>
      <c r="F24" s="88"/>
      <c r="G24" s="89">
        <f t="shared" si="34"/>
        <v>2866.47</v>
      </c>
      <c r="H24" s="90">
        <f t="shared" si="35"/>
        <v>2866.47</v>
      </c>
      <c r="I24" s="1390">
        <f>已售汇总!B14</f>
        <v>2866.47</v>
      </c>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72">
        <f t="shared" si="37"/>
        <v>0</v>
      </c>
      <c r="AW24" s="1972">
        <f t="shared" si="38"/>
        <v>0</v>
      </c>
      <c r="AX24" s="1972" t="str">
        <f t="shared" si="39"/>
        <v>17#已售</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3029" t="s">
        <v>3953</v>
      </c>
      <c r="D25" s="3030" t="s">
        <v>2996</v>
      </c>
      <c r="E25" s="87">
        <f t="shared" si="33"/>
        <v>1893.46</v>
      </c>
      <c r="F25" s="88"/>
      <c r="G25" s="89">
        <f t="shared" si="34"/>
        <v>4501.1399999999994</v>
      </c>
      <c r="H25" s="90">
        <f t="shared" si="35"/>
        <v>4501.1399999999994</v>
      </c>
      <c r="I25" s="1390">
        <f>已售汇总!B15</f>
        <v>4501.1399999999994</v>
      </c>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72">
        <f t="shared" si="37"/>
        <v>0</v>
      </c>
      <c r="AW25" s="1972">
        <f t="shared" si="38"/>
        <v>0</v>
      </c>
      <c r="AX25" s="1972" t="str">
        <f t="shared" si="39"/>
        <v>18#已售</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ustomHeight="1">
      <c r="A26" s="84"/>
      <c r="B26" s="1387"/>
      <c r="C26" s="1388" t="s">
        <v>4042</v>
      </c>
      <c r="D26" s="80" t="s">
        <v>1678</v>
      </c>
      <c r="E26" s="87">
        <f t="shared" si="33"/>
        <v>27409.07</v>
      </c>
      <c r="F26" s="88"/>
      <c r="G26" s="89">
        <f t="shared" si="34"/>
        <v>65156.839999999946</v>
      </c>
      <c r="H26" s="90">
        <f t="shared" si="35"/>
        <v>65156.839999999946</v>
      </c>
      <c r="I26" s="3171">
        <f>已售汇总!F7+已售汇总!F8+已售汇总!F9</f>
        <v>65156.839999999946</v>
      </c>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72">
        <f t="shared" si="37"/>
        <v>0</v>
      </c>
      <c r="AW26" s="1972">
        <f t="shared" si="38"/>
        <v>0</v>
      </c>
      <c r="AX26" s="1972" t="str">
        <f t="shared" si="39"/>
        <v>住宅未售</v>
      </c>
      <c r="AY26" s="95">
        <f t="shared" si="40"/>
        <v>27409.07</v>
      </c>
      <c r="AZ26" s="87">
        <f t="shared" si="41"/>
        <v>65156.839999999946</v>
      </c>
      <c r="BA26" s="87">
        <f t="shared" si="42"/>
        <v>65156.839999999946</v>
      </c>
      <c r="BB26" s="87">
        <f t="shared" si="43"/>
        <v>65156.839999999946</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t="s">
        <v>4043</v>
      </c>
      <c r="D27" s="80" t="s">
        <v>1678</v>
      </c>
      <c r="E27" s="87">
        <f t="shared" si="33"/>
        <v>2047.24</v>
      </c>
      <c r="F27" s="88"/>
      <c r="G27" s="89">
        <f t="shared" si="34"/>
        <v>4866.7</v>
      </c>
      <c r="H27" s="90">
        <f t="shared" si="35"/>
        <v>4866.7</v>
      </c>
      <c r="I27" s="1390"/>
      <c r="J27" s="91"/>
      <c r="K27" s="1390">
        <f>已售汇总!F14</f>
        <v>4866.7</v>
      </c>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72">
        <f t="shared" si="37"/>
        <v>0</v>
      </c>
      <c r="AW27" s="1972">
        <f t="shared" si="38"/>
        <v>0</v>
      </c>
      <c r="AX27" s="1972" t="str">
        <f t="shared" si="39"/>
        <v>商业</v>
      </c>
      <c r="AY27" s="95">
        <f t="shared" si="40"/>
        <v>2047.24</v>
      </c>
      <c r="AZ27" s="87">
        <f t="shared" si="41"/>
        <v>4866.7</v>
      </c>
      <c r="BA27" s="87">
        <f t="shared" si="42"/>
        <v>4866.7</v>
      </c>
      <c r="BB27" s="87">
        <f t="shared" si="43"/>
        <v>0</v>
      </c>
      <c r="BC27" s="87">
        <f t="shared" si="44"/>
        <v>4866.7</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t="s">
        <v>4046</v>
      </c>
      <c r="D28" s="80" t="s">
        <v>1678</v>
      </c>
      <c r="E28" s="87">
        <f t="shared" si="33"/>
        <v>30119.47</v>
      </c>
      <c r="F28" s="88"/>
      <c r="G28" s="89">
        <f t="shared" si="34"/>
        <v>71600</v>
      </c>
      <c r="H28" s="90">
        <f t="shared" si="35"/>
        <v>71600</v>
      </c>
      <c r="I28" s="1390"/>
      <c r="J28" s="91"/>
      <c r="K28" s="1390"/>
      <c r="L28" s="91"/>
      <c r="M28" s="91">
        <f>已售汇总!F13</f>
        <v>71600</v>
      </c>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72">
        <f t="shared" si="37"/>
        <v>0</v>
      </c>
      <c r="AW28" s="1972">
        <f t="shared" si="38"/>
        <v>0</v>
      </c>
      <c r="AX28" s="1972" t="str">
        <f t="shared" si="39"/>
        <v>地下车库</v>
      </c>
      <c r="AY28" s="95">
        <f t="shared" si="40"/>
        <v>30119.47</v>
      </c>
      <c r="AZ28" s="87">
        <f t="shared" si="41"/>
        <v>71600</v>
      </c>
      <c r="BA28" s="87">
        <f t="shared" si="42"/>
        <v>71600</v>
      </c>
      <c r="BB28" s="87">
        <f t="shared" si="43"/>
        <v>0</v>
      </c>
      <c r="BC28" s="87">
        <f t="shared" si="44"/>
        <v>0</v>
      </c>
      <c r="BD28" s="87">
        <f t="shared" si="45"/>
        <v>71600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89"/>
      <c r="C29" s="1390" t="s">
        <v>4049</v>
      </c>
      <c r="D29" s="80" t="s">
        <v>1678</v>
      </c>
      <c r="E29" s="87">
        <f t="shared" si="33"/>
        <v>2200.0700000000002</v>
      </c>
      <c r="F29" s="88"/>
      <c r="G29" s="89">
        <f t="shared" si="34"/>
        <v>5230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5230</v>
      </c>
      <c r="AD29" s="92">
        <f>已售汇总!F10</f>
        <v>5230</v>
      </c>
      <c r="AE29" s="92"/>
      <c r="AF29" s="1390"/>
      <c r="AG29" s="92"/>
      <c r="AH29" s="92"/>
      <c r="AI29" s="92"/>
      <c r="AJ29" s="92"/>
      <c r="AK29" s="92"/>
      <c r="AL29" s="92"/>
      <c r="AM29" s="92"/>
      <c r="AN29" s="92"/>
      <c r="AO29" s="92"/>
      <c r="AP29" s="92"/>
      <c r="AQ29" s="92"/>
      <c r="AR29" s="92"/>
      <c r="AS29" s="92"/>
      <c r="AT29" s="93"/>
      <c r="AU29" s="94"/>
      <c r="AV29" s="1972">
        <f t="shared" si="37"/>
        <v>0</v>
      </c>
      <c r="AW29" s="1972">
        <f t="shared" si="38"/>
        <v>0</v>
      </c>
      <c r="AX29" s="1972" t="str">
        <f t="shared" si="39"/>
        <v>公共配套设施</v>
      </c>
      <c r="AY29" s="95">
        <f t="shared" si="40"/>
        <v>2200.0700000000002</v>
      </c>
      <c r="AZ29" s="87">
        <f t="shared" si="41"/>
        <v>5230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5230</v>
      </c>
      <c r="BM29" s="87">
        <f t="shared" si="54"/>
        <v>5230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t="s">
        <v>4050</v>
      </c>
      <c r="D30" s="80" t="s">
        <v>1678</v>
      </c>
      <c r="E30" s="87">
        <f t="shared" si="33"/>
        <v>488.47</v>
      </c>
      <c r="F30" s="88"/>
      <c r="G30" s="89">
        <f t="shared" si="34"/>
        <v>1161.1899999999996</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1161.1899999999996</v>
      </c>
      <c r="AD30" s="92"/>
      <c r="AE30" s="92"/>
      <c r="AF30" s="1390"/>
      <c r="AG30" s="92"/>
      <c r="AH30" s="92"/>
      <c r="AI30" s="92"/>
      <c r="AJ30" s="92"/>
      <c r="AK30" s="92"/>
      <c r="AL30" s="92">
        <f>已售汇总!F11</f>
        <v>1161.1899999999996</v>
      </c>
      <c r="AM30" s="92"/>
      <c r="AN30" s="92"/>
      <c r="AO30" s="92"/>
      <c r="AP30" s="92"/>
      <c r="AQ30" s="92"/>
      <c r="AR30" s="92"/>
      <c r="AS30" s="92"/>
      <c r="AT30" s="93"/>
      <c r="AU30" s="94"/>
      <c r="AV30" s="1972">
        <f t="shared" si="37"/>
        <v>0</v>
      </c>
      <c r="AW30" s="1972">
        <f t="shared" si="38"/>
        <v>0</v>
      </c>
      <c r="AX30" s="1972" t="str">
        <f t="shared" si="39"/>
        <v>设备用房</v>
      </c>
      <c r="AY30" s="95">
        <f t="shared" si="40"/>
        <v>488.47</v>
      </c>
      <c r="AZ30" s="87">
        <f t="shared" si="41"/>
        <v>1161.1899999999996</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1161.1899999999996</v>
      </c>
      <c r="BM30" s="87">
        <f t="shared" si="54"/>
        <v>0</v>
      </c>
      <c r="BN30" s="87">
        <f t="shared" si="55"/>
        <v>0</v>
      </c>
      <c r="BO30" s="87">
        <f t="shared" si="56"/>
        <v>0</v>
      </c>
      <c r="BP30" s="87">
        <f t="shared" si="57"/>
        <v>0</v>
      </c>
      <c r="BQ30" s="87">
        <f t="shared" si="58"/>
        <v>1161.1899999999996</v>
      </c>
      <c r="BR30" s="87">
        <f t="shared" si="59"/>
        <v>0</v>
      </c>
      <c r="BS30" s="87">
        <f t="shared" si="60"/>
        <v>0</v>
      </c>
      <c r="BT30" s="96">
        <f t="shared" si="61"/>
        <v>0</v>
      </c>
    </row>
    <row r="31" spans="1:72" ht="28.5">
      <c r="A31" s="84"/>
      <c r="B31" s="1387"/>
      <c r="C31" s="1388" t="s">
        <v>4051</v>
      </c>
      <c r="D31" s="80" t="s">
        <v>1678</v>
      </c>
      <c r="E31" s="87">
        <f t="shared" si="33"/>
        <v>964.85</v>
      </c>
      <c r="F31" s="88"/>
      <c r="G31" s="89">
        <f t="shared" si="34"/>
        <v>2293.63</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2293.63</v>
      </c>
      <c r="AD31" s="92"/>
      <c r="AE31" s="92"/>
      <c r="AF31" s="1390"/>
      <c r="AG31" s="92"/>
      <c r="AH31" s="92">
        <f>已售汇总!F12</f>
        <v>2293.63</v>
      </c>
      <c r="AI31" s="92"/>
      <c r="AJ31" s="92"/>
      <c r="AK31" s="92"/>
      <c r="AL31" s="92"/>
      <c r="AM31" s="92"/>
      <c r="AN31" s="92"/>
      <c r="AO31" s="92"/>
      <c r="AP31" s="92"/>
      <c r="AQ31" s="92"/>
      <c r="AR31" s="92"/>
      <c r="AS31" s="92"/>
      <c r="AT31" s="93"/>
      <c r="AU31" s="94"/>
      <c r="AV31" s="1972">
        <f t="shared" si="37"/>
        <v>0</v>
      </c>
      <c r="AW31" s="1972">
        <f t="shared" si="38"/>
        <v>0</v>
      </c>
      <c r="AX31" s="1972" t="str">
        <f t="shared" si="39"/>
        <v>物业管理用房</v>
      </c>
      <c r="AY31" s="95">
        <f t="shared" si="40"/>
        <v>964.85</v>
      </c>
      <c r="AZ31" s="87">
        <f t="shared" si="41"/>
        <v>2293.63</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2293.63</v>
      </c>
      <c r="BM31" s="87">
        <f t="shared" si="54"/>
        <v>0</v>
      </c>
      <c r="BN31" s="87">
        <f t="shared" si="55"/>
        <v>0</v>
      </c>
      <c r="BO31" s="87">
        <f t="shared" si="56"/>
        <v>2293.63</v>
      </c>
      <c r="BP31" s="87">
        <f t="shared" si="57"/>
        <v>0</v>
      </c>
      <c r="BQ31" s="87">
        <f t="shared" si="58"/>
        <v>0</v>
      </c>
      <c r="BR31" s="87">
        <f t="shared" si="59"/>
        <v>0</v>
      </c>
      <c r="BS31" s="87">
        <f t="shared" si="60"/>
        <v>0</v>
      </c>
      <c r="BT31" s="96">
        <f t="shared" si="61"/>
        <v>0</v>
      </c>
    </row>
    <row r="32" spans="1:72">
      <c r="A32" s="84"/>
      <c r="B32" s="1387"/>
      <c r="C32" s="1388" t="s">
        <v>4223</v>
      </c>
      <c r="D32" s="80" t="s">
        <v>1678</v>
      </c>
      <c r="E32" s="87">
        <f t="shared" si="33"/>
        <v>6264.51</v>
      </c>
      <c r="F32" s="88"/>
      <c r="G32" s="89">
        <f t="shared" si="34"/>
        <v>14892</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14892</v>
      </c>
      <c r="AD32" s="92">
        <f>已售汇总!F15</f>
        <v>14892</v>
      </c>
      <c r="AE32" s="92"/>
      <c r="AF32" s="1390"/>
      <c r="AG32" s="92"/>
      <c r="AH32" s="92"/>
      <c r="AI32" s="92"/>
      <c r="AJ32" s="92"/>
      <c r="AK32" s="92"/>
      <c r="AL32" s="92"/>
      <c r="AM32" s="92"/>
      <c r="AN32" s="92"/>
      <c r="AO32" s="92"/>
      <c r="AP32" s="92"/>
      <c r="AQ32" s="92"/>
      <c r="AR32" s="92"/>
      <c r="AS32" s="92"/>
      <c r="AT32" s="93"/>
      <c r="AU32" s="94"/>
      <c r="AV32" s="1972">
        <f t="shared" si="37"/>
        <v>0</v>
      </c>
      <c r="AW32" s="1972">
        <f t="shared" si="38"/>
        <v>0</v>
      </c>
      <c r="AX32" s="1972" t="str">
        <f t="shared" si="39"/>
        <v>学校</v>
      </c>
      <c r="AY32" s="95">
        <f t="shared" si="40"/>
        <v>6264.51</v>
      </c>
      <c r="AZ32" s="87">
        <f t="shared" si="41"/>
        <v>14892</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14892</v>
      </c>
      <c r="BM32" s="87">
        <f t="shared" si="54"/>
        <v>14892</v>
      </c>
      <c r="BN32" s="87">
        <f t="shared" si="55"/>
        <v>0</v>
      </c>
      <c r="BO32" s="87">
        <f t="shared" si="56"/>
        <v>0</v>
      </c>
      <c r="BP32" s="87">
        <f t="shared" si="57"/>
        <v>0</v>
      </c>
      <c r="BQ32" s="87">
        <f t="shared" si="58"/>
        <v>0</v>
      </c>
      <c r="BR32" s="87">
        <f t="shared" si="59"/>
        <v>0</v>
      </c>
      <c r="BS32" s="87">
        <f t="shared" si="60"/>
        <v>0</v>
      </c>
      <c r="BT32" s="96">
        <f t="shared" si="61"/>
        <v>0</v>
      </c>
    </row>
    <row r="33" spans="1:72" ht="28.5">
      <c r="A33" s="84"/>
      <c r="B33" s="1387"/>
      <c r="C33" s="1388" t="s">
        <v>4465</v>
      </c>
      <c r="D33" s="80" t="s">
        <v>2996</v>
      </c>
      <c r="E33" s="87">
        <f t="shared" si="33"/>
        <v>8475.48</v>
      </c>
      <c r="F33" s="88"/>
      <c r="G33" s="89">
        <f t="shared" si="34"/>
        <v>20147.910000000011</v>
      </c>
      <c r="H33" s="90">
        <f t="shared" si="35"/>
        <v>20147.910000000011</v>
      </c>
      <c r="I33" s="1390">
        <f>已售!M1</f>
        <v>20147.910000000011</v>
      </c>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72">
        <f t="shared" si="37"/>
        <v>0</v>
      </c>
      <c r="AW33" s="1972">
        <f t="shared" si="38"/>
        <v>0</v>
      </c>
      <c r="AX33" s="1972" t="str">
        <f t="shared" si="39"/>
        <v>洋房最新出售</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4" sqref="G24"/>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387" t="s">
        <v>203</v>
      </c>
      <c r="B2" s="3387"/>
      <c r="C2" s="3387"/>
      <c r="D2" s="1968" t="s">
        <v>204</v>
      </c>
      <c r="E2" s="106" t="s">
        <v>205</v>
      </c>
      <c r="F2" s="1977"/>
      <c r="G2" s="1193"/>
      <c r="H2" s="1194"/>
      <c r="I2" s="1195" t="s">
        <v>856</v>
      </c>
      <c r="J2" s="1977"/>
      <c r="K2" s="1977"/>
      <c r="L2" s="1977"/>
    </row>
    <row r="3" spans="1:16" ht="15.75" thickBot="1">
      <c r="A3" s="3388" t="s">
        <v>206</v>
      </c>
      <c r="B3" s="3388"/>
      <c r="C3" s="3388"/>
      <c r="D3" s="107">
        <f>'数据-基础表'!AY6</f>
        <v>69493.679999999993</v>
      </c>
      <c r="E3" s="107">
        <f>'数据-基础表'!AZ5</f>
        <v>165200.35999999996</v>
      </c>
      <c r="F3" s="1977"/>
      <c r="G3" s="277" t="s">
        <v>857</v>
      </c>
      <c r="H3" s="272" t="s">
        <v>858</v>
      </c>
      <c r="I3" s="1969">
        <f>ROUND('数据-基础表'!B3/'数据-基础表'!A3,2)</f>
        <v>2.38</v>
      </c>
      <c r="J3" s="1977"/>
      <c r="K3" s="1977"/>
      <c r="L3" s="1977"/>
    </row>
    <row r="4" spans="1:16" ht="15">
      <c r="A4" s="3389"/>
      <c r="B4" s="3390"/>
      <c r="C4" s="3391"/>
      <c r="D4" s="108" t="s">
        <v>204</v>
      </c>
      <c r="E4" s="109" t="s">
        <v>205</v>
      </c>
      <c r="F4" s="1977"/>
      <c r="G4" s="1196"/>
      <c r="H4" s="272" t="s">
        <v>859</v>
      </c>
      <c r="I4" s="1969">
        <f>ROUND(SUMIF('数据-基础表'!I9:AS9,"地上",'数据-基础表'!I5:AS5)/'数据-基础表'!A3,2)</f>
        <v>1.79</v>
      </c>
      <c r="J4" s="1977"/>
      <c r="K4" s="1977"/>
      <c r="L4" s="1977"/>
    </row>
    <row r="5" spans="1:16">
      <c r="A5" s="110" t="s">
        <v>207</v>
      </c>
      <c r="B5" s="3392" t="s">
        <v>230</v>
      </c>
      <c r="C5" s="3392"/>
      <c r="D5" s="111">
        <f>ROUND($D$3*E5/$E$3,2)</f>
        <v>27409.07</v>
      </c>
      <c r="E5" s="112">
        <f>SUMIF('数据-基础表'!$11:$11,"住宅",'数据-基础表'!$5:$5)</f>
        <v>65156.839999999946</v>
      </c>
      <c r="F5" s="1977"/>
      <c r="G5" s="277" t="s">
        <v>860</v>
      </c>
      <c r="H5" s="272" t="s">
        <v>858</v>
      </c>
      <c r="I5" s="1969">
        <f>ROUND(E31/D31,2)</f>
        <v>2.38</v>
      </c>
      <c r="J5" s="1977"/>
      <c r="K5" s="1977"/>
      <c r="L5" s="1977"/>
    </row>
    <row r="6" spans="1:16" ht="15" thickBot="1">
      <c r="A6" s="113"/>
      <c r="B6" s="3392" t="s">
        <v>208</v>
      </c>
      <c r="C6" s="3392"/>
      <c r="D6" s="111">
        <f>ROUND($D$3*E6/$E$3,2)</f>
        <v>42084.61</v>
      </c>
      <c r="E6" s="112">
        <f>E3-E5</f>
        <v>100043.52000000002</v>
      </c>
      <c r="F6" s="1977"/>
      <c r="G6" s="1196"/>
      <c r="H6" s="272" t="s">
        <v>859</v>
      </c>
      <c r="I6" s="1969">
        <f>ROUND(F31/D31,2)</f>
        <v>1.35</v>
      </c>
      <c r="J6" s="1977"/>
      <c r="K6" s="1977"/>
      <c r="L6" s="1977"/>
    </row>
    <row r="7" spans="1:16" ht="15">
      <c r="A7" s="3384"/>
      <c r="B7" s="3385"/>
      <c r="C7" s="3386"/>
      <c r="D7" s="108" t="s">
        <v>204</v>
      </c>
      <c r="E7" s="114" t="s">
        <v>231</v>
      </c>
      <c r="F7" s="1977"/>
      <c r="G7" s="1151" t="s">
        <v>1645</v>
      </c>
      <c r="H7" s="1152"/>
      <c r="I7" s="1839"/>
      <c r="J7" s="1977"/>
      <c r="K7" s="1977"/>
      <c r="L7" s="1977"/>
    </row>
    <row r="8" spans="1:16">
      <c r="A8" s="110" t="s">
        <v>209</v>
      </c>
      <c r="B8" s="115" t="s">
        <v>210</v>
      </c>
      <c r="C8" s="111" t="s">
        <v>211</v>
      </c>
      <c r="D8" s="111">
        <f t="shared" ref="D8:D15" si="0">ROUND($D$3*E8/$E$3,2)</f>
        <v>29456.31</v>
      </c>
      <c r="E8" s="116">
        <f>SUMIF('数据-基础表'!BB10:BK10,"地上",'数据-基础表'!BB5:BK5)</f>
        <v>70023.53999999995</v>
      </c>
      <c r="F8" s="1977"/>
      <c r="G8" s="1979"/>
      <c r="H8" s="1979"/>
      <c r="I8" s="1977"/>
      <c r="J8" s="1977"/>
      <c r="K8" s="1977"/>
      <c r="L8" s="1977"/>
    </row>
    <row r="9" spans="1:16">
      <c r="A9" s="117"/>
      <c r="B9" s="118"/>
      <c r="C9" s="111" t="s">
        <v>212</v>
      </c>
      <c r="D9" s="111">
        <f t="shared" si="0"/>
        <v>0</v>
      </c>
      <c r="E9" s="3248"/>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2"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2" t="s">
        <v>2334</v>
      </c>
      <c r="D13" s="111">
        <f t="shared" si="0"/>
        <v>30119.47</v>
      </c>
      <c r="E13" s="116">
        <f>SUMPRODUCT(('数据-基础表'!BB10:BK10="地下")*('数据-基础表'!BB11:BK11="车库")*('数据-基础表'!BB5:BK5))</f>
        <v>71600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59575.78</v>
      </c>
      <c r="E16" s="119">
        <f>SUM(E8:E15)</f>
        <v>141623.53999999995</v>
      </c>
      <c r="F16" s="1977"/>
      <c r="G16" s="1979"/>
      <c r="H16" s="964" t="s">
        <v>219</v>
      </c>
      <c r="I16" s="965"/>
      <c r="J16" s="1977"/>
      <c r="K16" s="3378" t="s">
        <v>2567</v>
      </c>
      <c r="L16" s="3379"/>
      <c r="M16" s="3379"/>
      <c r="N16" s="3379"/>
      <c r="O16" s="3379"/>
      <c r="P16" s="3380"/>
    </row>
    <row r="17" spans="1:19" ht="15">
      <c r="A17" s="120" t="s">
        <v>216</v>
      </c>
      <c r="B17" s="121" t="s">
        <v>217</v>
      </c>
      <c r="C17" s="2289" t="s">
        <v>2313</v>
      </c>
      <c r="D17" s="108" t="s">
        <v>204</v>
      </c>
      <c r="E17" s="123" t="s">
        <v>205</v>
      </c>
      <c r="F17" s="124"/>
      <c r="G17" s="1360"/>
      <c r="H17" s="966" t="s">
        <v>218</v>
      </c>
      <c r="I17" s="967" t="s">
        <v>2312</v>
      </c>
      <c r="J17" s="1977"/>
      <c r="K17" s="3381" t="s">
        <v>2568</v>
      </c>
      <c r="L17" s="3382"/>
      <c r="M17" s="3383"/>
      <c r="N17" s="3381" t="s">
        <v>2569</v>
      </c>
      <c r="O17" s="3382"/>
      <c r="P17" s="3383"/>
      <c r="R17" s="2290" t="s">
        <v>2311</v>
      </c>
      <c r="S17" s="143"/>
    </row>
    <row r="18" spans="1:19" ht="15">
      <c r="A18" s="117"/>
      <c r="B18" s="127"/>
      <c r="C18" s="128"/>
      <c r="D18" s="2657"/>
      <c r="E18" s="129" t="s">
        <v>220</v>
      </c>
      <c r="F18" s="130" t="s">
        <v>221</v>
      </c>
      <c r="G18" s="1361" t="s">
        <v>222</v>
      </c>
      <c r="H18" s="968" t="s">
        <v>223</v>
      </c>
      <c r="I18" s="969" t="s">
        <v>224</v>
      </c>
      <c r="J18" s="1977"/>
      <c r="K18" s="2620" t="s">
        <v>2570</v>
      </c>
      <c r="L18" s="2621" t="s">
        <v>2571</v>
      </c>
      <c r="M18" s="2622" t="s">
        <v>2572</v>
      </c>
      <c r="N18" s="2620" t="s">
        <v>2570</v>
      </c>
      <c r="O18" s="2621" t="s">
        <v>2571</v>
      </c>
      <c r="P18" s="2622" t="s">
        <v>2572</v>
      </c>
      <c r="R18" s="2291" t="s">
        <v>2309</v>
      </c>
      <c r="S18" s="2291" t="s">
        <v>2310</v>
      </c>
    </row>
    <row r="19" spans="1:19">
      <c r="A19" s="132"/>
      <c r="B19" s="115" t="s">
        <v>225</v>
      </c>
      <c r="C19" s="3038" t="s">
        <v>4053</v>
      </c>
      <c r="D19" s="111">
        <f t="shared" ref="D19:D26" si="1">ROUND($D$3*E19/$E$3,2)</f>
        <v>1569.49</v>
      </c>
      <c r="E19" s="133">
        <f t="shared" ref="E19:E26" si="2">SUM(F19:G19)</f>
        <v>3730.9799999999577</v>
      </c>
      <c r="F19" s="134">
        <f>已售汇总!F7</f>
        <v>3730.9799999999577</v>
      </c>
      <c r="G19" s="1362"/>
      <c r="H19" s="970">
        <f>ROUND($D$3*I19/$E$3,2)</f>
        <v>12.87</v>
      </c>
      <c r="I19" s="116">
        <f>IF($I$17="自定义",P19,M19)</f>
        <v>30.59</v>
      </c>
      <c r="J19" s="1977"/>
      <c r="K19" s="2623">
        <f t="shared" ref="K19:K26" si="3">ROUND(E$28*E19/E$27,2)</f>
        <v>30.59</v>
      </c>
      <c r="L19" s="272">
        <f t="shared" ref="L19:L26" si="4">ROUND(IF(COUNTIF(C19,"*住宅*")&gt;0,E$29*E19/E$32,0),2)</f>
        <v>0</v>
      </c>
      <c r="M19" s="2624">
        <f>K19+L19</f>
        <v>30.59</v>
      </c>
      <c r="N19" s="2625"/>
      <c r="O19" s="2626"/>
      <c r="P19" s="2627">
        <f>N19+O19</f>
        <v>0</v>
      </c>
      <c r="R19" s="272">
        <f t="shared" ref="R19:S26" si="5">D19+H19</f>
        <v>1582.36</v>
      </c>
      <c r="S19" s="2292">
        <f t="shared" si="5"/>
        <v>3761.5699999999579</v>
      </c>
    </row>
    <row r="20" spans="1:19">
      <c r="A20" s="137"/>
      <c r="B20" s="115" t="s">
        <v>226</v>
      </c>
      <c r="C20" s="3038" t="s">
        <v>4055</v>
      </c>
      <c r="D20" s="111">
        <f t="shared" si="1"/>
        <v>392.3</v>
      </c>
      <c r="E20" s="133">
        <f t="shared" si="2"/>
        <v>932.57000000000244</v>
      </c>
      <c r="F20" s="134">
        <f>已售汇总!F8</f>
        <v>932.57000000000244</v>
      </c>
      <c r="G20" s="1362"/>
      <c r="H20" s="970">
        <f t="shared" ref="H20:H26" si="6">ROUND($D$3*I20/$E$3,2)</f>
        <v>3.22</v>
      </c>
      <c r="I20" s="116">
        <f t="shared" ref="I20:I26" si="7">IF($I$17="自定义",P20,M20)</f>
        <v>7.65</v>
      </c>
      <c r="J20" s="1977"/>
      <c r="K20" s="2623">
        <f t="shared" si="3"/>
        <v>7.65</v>
      </c>
      <c r="L20" s="272">
        <f t="shared" si="4"/>
        <v>0</v>
      </c>
      <c r="M20" s="2624">
        <f t="shared" ref="M20:M26" si="8">K20+L20</f>
        <v>7.65</v>
      </c>
      <c r="N20" s="2625"/>
      <c r="O20" s="2626"/>
      <c r="P20" s="2627">
        <f t="shared" ref="P20:P26" si="9">N20+O20</f>
        <v>0</v>
      </c>
      <c r="R20" s="272">
        <f t="shared" si="5"/>
        <v>395.52000000000004</v>
      </c>
      <c r="S20" s="2292">
        <f t="shared" si="5"/>
        <v>940.22000000000241</v>
      </c>
    </row>
    <row r="21" spans="1:19">
      <c r="A21" s="137"/>
      <c r="B21" s="115" t="s">
        <v>226</v>
      </c>
      <c r="C21" s="3038" t="s">
        <v>4248</v>
      </c>
      <c r="D21" s="111">
        <f t="shared" si="1"/>
        <v>23510.880000000001</v>
      </c>
      <c r="E21" s="133">
        <f t="shared" si="2"/>
        <v>55890.069999999992</v>
      </c>
      <c r="F21" s="134">
        <f>'数据-取费表'!M27</f>
        <v>55890.069999999992</v>
      </c>
      <c r="G21" s="1362"/>
      <c r="H21" s="970">
        <f t="shared" si="6"/>
        <v>192.77</v>
      </c>
      <c r="I21" s="116">
        <f t="shared" si="7"/>
        <v>458.25</v>
      </c>
      <c r="J21" s="1977"/>
      <c r="K21" s="2623">
        <f t="shared" si="3"/>
        <v>458.25</v>
      </c>
      <c r="L21" s="272">
        <f t="shared" si="4"/>
        <v>0</v>
      </c>
      <c r="M21" s="2624">
        <f t="shared" si="8"/>
        <v>458.25</v>
      </c>
      <c r="N21" s="2625"/>
      <c r="O21" s="2626"/>
      <c r="P21" s="2627">
        <f t="shared" si="9"/>
        <v>0</v>
      </c>
      <c r="R21" s="272">
        <f t="shared" si="5"/>
        <v>23703.65</v>
      </c>
      <c r="S21" s="2292">
        <f t="shared" si="5"/>
        <v>56348.319999999992</v>
      </c>
    </row>
    <row r="22" spans="1:19">
      <c r="A22" s="137"/>
      <c r="B22" s="115" t="s">
        <v>226</v>
      </c>
      <c r="C22" s="3215" t="s">
        <v>4250</v>
      </c>
      <c r="D22" s="111">
        <f t="shared" si="1"/>
        <v>1936.4</v>
      </c>
      <c r="E22" s="133">
        <f t="shared" si="2"/>
        <v>4603.2199999999975</v>
      </c>
      <c r="F22" s="139">
        <f>'数据-取费表'!M26</f>
        <v>4603.2199999999975</v>
      </c>
      <c r="G22" s="1363"/>
      <c r="H22" s="970">
        <f t="shared" si="6"/>
        <v>15.88</v>
      </c>
      <c r="I22" s="116">
        <f t="shared" si="7"/>
        <v>37.74</v>
      </c>
      <c r="J22" s="1977"/>
      <c r="K22" s="2623">
        <f t="shared" si="3"/>
        <v>37.74</v>
      </c>
      <c r="L22" s="272">
        <f t="shared" si="4"/>
        <v>0</v>
      </c>
      <c r="M22" s="2624">
        <f t="shared" si="8"/>
        <v>37.74</v>
      </c>
      <c r="N22" s="2625"/>
      <c r="O22" s="2626"/>
      <c r="P22" s="2627">
        <f t="shared" si="9"/>
        <v>0</v>
      </c>
      <c r="R22" s="272">
        <f t="shared" si="5"/>
        <v>1952.2800000000002</v>
      </c>
      <c r="S22" s="2292">
        <f t="shared" si="5"/>
        <v>4640.9599999999973</v>
      </c>
    </row>
    <row r="23" spans="1:19">
      <c r="A23" s="137"/>
      <c r="B23" s="115" t="s">
        <v>226</v>
      </c>
      <c r="C23" s="3215" t="s">
        <v>4057</v>
      </c>
      <c r="D23" s="111">
        <f>ROUND($D$3*E23/$E$3,2)</f>
        <v>2047.24</v>
      </c>
      <c r="E23" s="133">
        <f>SUM(F23:G23)</f>
        <v>4866.7</v>
      </c>
      <c r="F23" s="139">
        <f>已售汇总!F14</f>
        <v>4866.7</v>
      </c>
      <c r="G23" s="1363"/>
      <c r="H23" s="970">
        <f>ROUND($D$3*I23/$E$3,2)</f>
        <v>16.78</v>
      </c>
      <c r="I23" s="116">
        <f t="shared" si="7"/>
        <v>39.9</v>
      </c>
      <c r="J23" s="1977"/>
      <c r="K23" s="2623">
        <f t="shared" si="3"/>
        <v>39.9</v>
      </c>
      <c r="L23" s="272">
        <f t="shared" si="4"/>
        <v>0</v>
      </c>
      <c r="M23" s="2624">
        <f t="shared" si="8"/>
        <v>39.9</v>
      </c>
      <c r="N23" s="2625"/>
      <c r="O23" s="2626"/>
      <c r="P23" s="2627">
        <f t="shared" si="9"/>
        <v>0</v>
      </c>
      <c r="R23" s="272">
        <f t="shared" si="5"/>
        <v>2064.02</v>
      </c>
      <c r="S23" s="2292">
        <f t="shared" si="5"/>
        <v>4906.5999999999995</v>
      </c>
    </row>
    <row r="24" spans="1:19">
      <c r="A24" s="137"/>
      <c r="B24" s="115" t="s">
        <v>226</v>
      </c>
      <c r="C24" s="3215" t="s">
        <v>4251</v>
      </c>
      <c r="D24" s="111">
        <f>ROUND($D$3*E24/$E$3,2)</f>
        <v>30119.47</v>
      </c>
      <c r="E24" s="133">
        <f>SUM(F24:G24)</f>
        <v>71600</v>
      </c>
      <c r="F24" s="139"/>
      <c r="G24" s="1363">
        <f>已售汇总!F13</f>
        <v>71600</v>
      </c>
      <c r="H24" s="970">
        <f>ROUND($D$3*I24/$E$3,2)</f>
        <v>246.95</v>
      </c>
      <c r="I24" s="116">
        <f t="shared" si="7"/>
        <v>587.05999999999995</v>
      </c>
      <c r="J24" s="1977"/>
      <c r="K24" s="2623">
        <f t="shared" si="3"/>
        <v>587.05999999999995</v>
      </c>
      <c r="L24" s="272">
        <f t="shared" si="4"/>
        <v>0</v>
      </c>
      <c r="M24" s="2624">
        <f t="shared" si="8"/>
        <v>587.05999999999995</v>
      </c>
      <c r="N24" s="2625"/>
      <c r="O24" s="2626"/>
      <c r="P24" s="2627">
        <f t="shared" si="9"/>
        <v>0</v>
      </c>
      <c r="R24" s="272">
        <f t="shared" si="5"/>
        <v>30366.420000000002</v>
      </c>
      <c r="S24" s="2292">
        <f t="shared" si="5"/>
        <v>72187.06</v>
      </c>
    </row>
    <row r="25" spans="1:19">
      <c r="A25" s="137"/>
      <c r="B25" s="115" t="s">
        <v>226</v>
      </c>
      <c r="C25" s="138"/>
      <c r="D25" s="111">
        <f t="shared" si="1"/>
        <v>0</v>
      </c>
      <c r="E25" s="133">
        <f t="shared" si="2"/>
        <v>0</v>
      </c>
      <c r="F25" s="139"/>
      <c r="G25" s="1363"/>
      <c r="H25" s="110">
        <f t="shared" si="6"/>
        <v>0</v>
      </c>
      <c r="I25" s="116">
        <f t="shared" si="7"/>
        <v>0</v>
      </c>
      <c r="J25" s="1977"/>
      <c r="K25" s="2623">
        <f t="shared" si="3"/>
        <v>0</v>
      </c>
      <c r="L25" s="272">
        <f t="shared" si="4"/>
        <v>0</v>
      </c>
      <c r="M25" s="2624">
        <f t="shared" si="8"/>
        <v>0</v>
      </c>
      <c r="N25" s="2625"/>
      <c r="O25" s="2626"/>
      <c r="P25" s="2627">
        <f t="shared" si="9"/>
        <v>0</v>
      </c>
      <c r="R25" s="272">
        <f t="shared" si="5"/>
        <v>0</v>
      </c>
      <c r="S25" s="2292">
        <f t="shared" si="5"/>
        <v>0</v>
      </c>
    </row>
    <row r="26" spans="1:19">
      <c r="A26" s="137"/>
      <c r="B26" s="115" t="s">
        <v>226</v>
      </c>
      <c r="C26" s="141"/>
      <c r="D26" s="111">
        <f t="shared" si="1"/>
        <v>0</v>
      </c>
      <c r="E26" s="133">
        <f t="shared" si="2"/>
        <v>0</v>
      </c>
      <c r="F26" s="139"/>
      <c r="G26" s="1363"/>
      <c r="H26" s="110">
        <f t="shared" si="6"/>
        <v>0</v>
      </c>
      <c r="I26" s="116">
        <f t="shared" si="7"/>
        <v>0</v>
      </c>
      <c r="J26" s="1977"/>
      <c r="K26" s="2628">
        <f t="shared" si="3"/>
        <v>0</v>
      </c>
      <c r="L26" s="277">
        <f t="shared" si="4"/>
        <v>0</v>
      </c>
      <c r="M26" s="145">
        <f t="shared" si="8"/>
        <v>0</v>
      </c>
      <c r="N26" s="2629"/>
      <c r="O26" s="2630"/>
      <c r="P26" s="2631">
        <f t="shared" si="9"/>
        <v>0</v>
      </c>
      <c r="R26" s="272">
        <f t="shared" si="5"/>
        <v>0</v>
      </c>
      <c r="S26" s="2292">
        <f t="shared" si="5"/>
        <v>0</v>
      </c>
    </row>
    <row r="27" spans="1:19" ht="43.5" thickBot="1">
      <c r="A27" s="137"/>
      <c r="B27" s="111"/>
      <c r="C27" s="126" t="s">
        <v>215</v>
      </c>
      <c r="D27" s="133">
        <f>SUM(D19:D26)</f>
        <v>59575.780000000006</v>
      </c>
      <c r="E27" s="142">
        <f>IF(SUM(E19:E26)='数据-基础表'!BA5,SUM(E19:E26),IF(F27="地上面积有误","面积有误","地下面积有误"))</f>
        <v>141623.53999999995</v>
      </c>
      <c r="F27" s="133">
        <f>IF(SUM(F19:F26)=E8,SUM(F19:F26),"地上面积有误")</f>
        <v>70023.53999999995</v>
      </c>
      <c r="G27" s="112">
        <f>SUM(G19:G26)</f>
        <v>71600</v>
      </c>
      <c r="H27" s="971">
        <f>SUM(H19:H26)</f>
        <v>488.47</v>
      </c>
      <c r="I27" s="972">
        <f>SUM(I19:I26)</f>
        <v>1161.19</v>
      </c>
      <c r="J27" s="1977"/>
      <c r="K27" s="2632">
        <f>SUM(K19:K26)</f>
        <v>1161.19</v>
      </c>
      <c r="L27" s="2633">
        <f>SUM(L19:L26)</f>
        <v>0</v>
      </c>
      <c r="M27" s="2634">
        <f>SUM(M19:M26)</f>
        <v>1161.19</v>
      </c>
      <c r="N27" s="2632">
        <f t="shared" ref="N27:O27" si="10">SUM(N19:N26)</f>
        <v>0</v>
      </c>
      <c r="O27" s="2633">
        <f t="shared" si="10"/>
        <v>0</v>
      </c>
      <c r="P27" s="2635">
        <f>SUM(P19:P26)</f>
        <v>0</v>
      </c>
      <c r="R27" s="2296" t="str">
        <f>IF(SUM(R19:R26)=$D$3,SUM(R19:R26),SUM(R19:R26)&amp;"误差"&amp;ROUND(SUM(R19:R26)-$D$3,2))</f>
        <v>60064.25误差-9429.43</v>
      </c>
      <c r="S27" s="272" t="str">
        <f>IF(SUM(S19:S26)=$E$3,SUM(S19:S26),SUM(S19:S26)&amp;"误差"&amp;ROUND(SUM(S19:S26)-E3,2))</f>
        <v>142784.73误差-22415.63</v>
      </c>
    </row>
    <row r="28" spans="1:19">
      <c r="A28" s="137"/>
      <c r="B28" s="115" t="s">
        <v>227</v>
      </c>
      <c r="C28" s="135" t="s">
        <v>228</v>
      </c>
      <c r="D28" s="111">
        <f>ROUND($D$3*E28/$E$3,2)</f>
        <v>488.47</v>
      </c>
      <c r="E28" s="133">
        <f>SUM(F28:G28)</f>
        <v>1161.1899999999996</v>
      </c>
      <c r="F28" s="143">
        <f>'数据-基础表'!BQ5+'数据-基础表'!BS5</f>
        <v>1161.1899999999996</v>
      </c>
      <c r="G28" s="144">
        <f>'数据-基础表'!BR5+'数据-基础表'!BT5</f>
        <v>0</v>
      </c>
      <c r="H28" s="1977"/>
      <c r="I28" s="1977"/>
      <c r="J28" s="1977"/>
      <c r="K28" s="1977"/>
      <c r="L28" s="1977"/>
    </row>
    <row r="29" spans="1:19">
      <c r="A29" s="137"/>
      <c r="B29" s="115" t="s">
        <v>227</v>
      </c>
      <c r="C29" s="2304" t="s">
        <v>2320</v>
      </c>
      <c r="D29" s="111">
        <f>ROUND($D$3*E29/$E$3,2)</f>
        <v>9429.43</v>
      </c>
      <c r="E29" s="133">
        <f>SUM(F29:G29)</f>
        <v>22415.63</v>
      </c>
      <c r="F29" s="143">
        <f>'数据-基础表'!BM5+'数据-基础表'!BO5</f>
        <v>22415.63</v>
      </c>
      <c r="G29" s="145">
        <f>'数据-基础表'!BN5+'数据-基础表'!BP5</f>
        <v>0</v>
      </c>
      <c r="H29" s="1977"/>
      <c r="I29" s="1977"/>
      <c r="J29" s="1977"/>
      <c r="K29" s="1977"/>
      <c r="L29" s="1977"/>
    </row>
    <row r="30" spans="1:19">
      <c r="A30" s="137"/>
      <c r="B30" s="111"/>
      <c r="C30" s="146" t="s">
        <v>215</v>
      </c>
      <c r="D30" s="133">
        <f>SUM(D28:D29)</f>
        <v>9917.9</v>
      </c>
      <c r="E30" s="133">
        <f>SUM(E28:E29)</f>
        <v>23576.82</v>
      </c>
      <c r="F30" s="133">
        <f>SUM(F28:F29)</f>
        <v>23576.82</v>
      </c>
      <c r="G30" s="112">
        <f>SUM(G28:G29)</f>
        <v>0</v>
      </c>
      <c r="H30" s="1977"/>
      <c r="I30" s="1977"/>
      <c r="J30" s="1977"/>
      <c r="K30" s="1977"/>
      <c r="L30" s="1977"/>
    </row>
    <row r="31" spans="1:19" ht="32.25" customHeight="1" thickBot="1">
      <c r="A31" s="1364"/>
      <c r="B31" s="1365" t="s">
        <v>229</v>
      </c>
      <c r="C31" s="2321" t="s">
        <v>2322</v>
      </c>
      <c r="D31" s="1366">
        <f>D27+D30</f>
        <v>69493.680000000008</v>
      </c>
      <c r="E31" s="1366">
        <f>E27+E30</f>
        <v>165200.35999999996</v>
      </c>
      <c r="F31" s="1367">
        <f>F27+F30</f>
        <v>93600.359999999957</v>
      </c>
      <c r="G31" s="1368">
        <f>G27+G30</f>
        <v>71600</v>
      </c>
      <c r="H31" s="1977"/>
      <c r="I31" s="1977"/>
      <c r="J31" s="1977"/>
      <c r="K31" s="1977"/>
      <c r="L31" s="1977"/>
    </row>
    <row r="32" spans="1:19">
      <c r="A32" s="1977"/>
      <c r="B32" s="2354" t="s">
        <v>2321</v>
      </c>
      <c r="C32" s="2662"/>
      <c r="D32" s="1196"/>
      <c r="E32" s="1196">
        <f>SUMIF(C19:C26,"*住宅*",E19:E26)</f>
        <v>0</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7"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8" t="s">
        <v>235</v>
      </c>
      <c r="B2" s="2329">
        <f>项目基本情况!D3</f>
        <v>43313</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49" t="s">
        <v>863</v>
      </c>
      <c r="B4" s="151"/>
      <c r="C4" s="152"/>
      <c r="D4" s="1203"/>
      <c r="E4" s="1204" t="s">
        <v>864</v>
      </c>
      <c r="F4" s="152"/>
      <c r="G4" s="152"/>
      <c r="H4" s="152"/>
      <c r="I4" s="152"/>
      <c r="J4" s="153"/>
      <c r="K4" s="1205"/>
      <c r="L4" s="1206"/>
      <c r="M4" s="152"/>
      <c r="N4" s="1204" t="s">
        <v>865</v>
      </c>
      <c r="O4" s="152"/>
      <c r="P4" s="152"/>
      <c r="Q4" s="152"/>
      <c r="R4" s="152"/>
      <c r="S4" s="153"/>
      <c r="T4" s="973"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5"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4" t="s">
        <v>2829</v>
      </c>
      <c r="O5" s="162" t="s">
        <v>246</v>
      </c>
      <c r="P5" s="164" t="s">
        <v>247</v>
      </c>
      <c r="Q5" s="165" t="s">
        <v>248</v>
      </c>
      <c r="R5" s="166" t="s">
        <v>249</v>
      </c>
      <c r="S5" s="2636" t="s">
        <v>2573</v>
      </c>
      <c r="T5" s="167" t="s">
        <v>250</v>
      </c>
      <c r="U5" s="168" t="s">
        <v>251</v>
      </c>
      <c r="V5" s="158" t="s">
        <v>252</v>
      </c>
      <c r="W5" s="158" t="s">
        <v>253</v>
      </c>
      <c r="X5" s="1811"/>
      <c r="Y5" s="169" t="s">
        <v>254</v>
      </c>
      <c r="Z5" s="170" t="s">
        <v>255</v>
      </c>
      <c r="AA5" s="158" t="s">
        <v>252</v>
      </c>
      <c r="AB5" s="158" t="s">
        <v>253</v>
      </c>
      <c r="AC5" s="1812"/>
      <c r="AD5" s="171" t="s">
        <v>254</v>
      </c>
      <c r="AE5" s="1" t="s">
        <v>869</v>
      </c>
      <c r="AF5" s="158" t="s">
        <v>256</v>
      </c>
      <c r="AG5" s="169" t="s">
        <v>257</v>
      </c>
      <c r="AH5" s="1812" t="s">
        <v>2323</v>
      </c>
      <c r="AI5" s="170" t="s">
        <v>2292</v>
      </c>
      <c r="AJ5" s="170" t="s">
        <v>258</v>
      </c>
      <c r="AK5" s="158" t="s">
        <v>259</v>
      </c>
      <c r="AL5" s="158" t="s">
        <v>260</v>
      </c>
      <c r="AM5" s="171" t="s">
        <v>261</v>
      </c>
      <c r="AN5" s="2406"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3" t="str">
        <f>'数据-汇总表'!C19</f>
        <v>高层</v>
      </c>
      <c r="B6" s="2328" t="str">
        <f>IF(A6=0,"","经营性")</f>
        <v>经营性</v>
      </c>
      <c r="C6" s="172" t="s">
        <v>922</v>
      </c>
      <c r="D6" s="2299">
        <f>SUMIF(项目基本情况!D$15:I$15,C6,项目基本情况!D$18:I$18)</f>
        <v>70</v>
      </c>
      <c r="E6" s="2300">
        <f>IF(B6="","",SUMIF(项目基本情况!D$15:I$15,C6,项目基本情况!D$17:I$17))</f>
        <v>68234</v>
      </c>
      <c r="F6" s="173">
        <f>SUMIF(项目基本情况!D$15:I$15,C6,项目基本情况!D$19:I$19)</f>
        <v>68.27</v>
      </c>
      <c r="G6" s="174">
        <f>IF(ISERROR(ROUND(POWER(1+H6,D6-F6)*(POWER(1+H6,F6)-1)/(POWER(1+H6,D6)-1),3)),0,ROUND(POWER(1+H6,D6-F6)*(POWER(1+H6,F6)-1)/(POWER(1+H6,D6)-1),3))</f>
        <v>0.996</v>
      </c>
      <c r="H6" s="3039">
        <v>4.4999999999999998E-2</v>
      </c>
      <c r="I6" s="3039">
        <v>0.05</v>
      </c>
      <c r="J6" s="175">
        <v>8.5000000000000006E-2</v>
      </c>
      <c r="K6" s="178">
        <f>SUMIF('数据-汇总表'!C$19:C$33,'数据-取费表'!A6,'数据-汇总表'!E$19:E$33)</f>
        <v>3730.9799999999577</v>
      </c>
      <c r="L6" s="3040">
        <v>2200</v>
      </c>
      <c r="M6" s="176">
        <f t="shared" ref="M6:M14" si="0">ROUND(K6*L6/10000,0)</f>
        <v>821</v>
      </c>
      <c r="N6" s="3041">
        <v>0</v>
      </c>
      <c r="O6" s="176">
        <f>IF($N$5="成新度","——",ROUND(M6*N6,0))</f>
        <v>0</v>
      </c>
      <c r="P6" s="177">
        <f>IF($N$5="成新度","——",M6-O6)</f>
        <v>821</v>
      </c>
      <c r="Q6" s="3042">
        <v>0.1</v>
      </c>
      <c r="R6" s="178">
        <f>SUMIF('数据-汇总表'!C$19:C$33,A6,'数据-汇总表'!R$19:R$33)</f>
        <v>1582.36</v>
      </c>
      <c r="S6" s="131">
        <f>IF('数据-汇总表'!$I$17="按面积比例",SUMIF('数据-汇总表'!C$19:C$33,A6,'数据-汇总表'!K$19:K$33),SUMIF('数据-汇总表'!C$19:C$33,A6,'数据-汇总表'!N$19:N$33))</f>
        <v>30.59</v>
      </c>
      <c r="T6" s="2227">
        <f>IF($T$4="按面积比例",IF(ISERROR(ROUND($M$14*S6/S$16,0)),"0",ROUND($M$14*S6/S$16,0)),"需自行计算录入")</f>
        <v>6</v>
      </c>
      <c r="U6" s="179"/>
      <c r="V6" s="180"/>
      <c r="W6" s="180"/>
      <c r="X6" s="2312"/>
      <c r="Y6" s="181"/>
      <c r="Z6" s="182"/>
      <c r="AA6" s="175"/>
      <c r="AB6" s="175"/>
      <c r="AC6" s="2315"/>
      <c r="AD6" s="183"/>
      <c r="AE6" s="968">
        <f ca="1">IF(AN6="",0,SUMIF(INDIRECT("'"&amp;AN6&amp;"'"&amp;"!E:E"),$AE$5,INDIRECT("'"&amp;AN6&amp;"'"&amp;"!F:F")))</f>
        <v>0</v>
      </c>
      <c r="AF6" s="140"/>
      <c r="AG6" s="1208">
        <f>IF(AF6="",0,AE6-AF6)</f>
        <v>0</v>
      </c>
      <c r="AH6" s="140"/>
      <c r="AI6" s="186"/>
      <c r="AJ6" s="187"/>
      <c r="AK6" s="188"/>
      <c r="AL6" s="189"/>
      <c r="AM6" s="3053"/>
      <c r="AN6" s="2407"/>
      <c r="AO6" s="1993"/>
      <c r="AP6" s="1199">
        <f>ROUND(1-1/(1+H6)^F6,3)</f>
        <v>0.95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3" t="str">
        <f>'数据-汇总表'!C20</f>
        <v>小高层</v>
      </c>
      <c r="B7" s="2328" t="str">
        <f t="shared" ref="B7:B13" si="1">IF(A7=0,"","经营性")</f>
        <v>经营性</v>
      </c>
      <c r="C7" s="172" t="s">
        <v>922</v>
      </c>
      <c r="D7" s="2299">
        <f>SUMIF(项目基本情况!D$15:I$15,C7,项目基本情况!D$18:I$18)</f>
        <v>70</v>
      </c>
      <c r="E7" s="2300">
        <f>IF(B7="","",SUMIF(项目基本情况!D$15:I$15,C7,项目基本情况!D$17:I$17))</f>
        <v>68234</v>
      </c>
      <c r="F7" s="173">
        <f>SUMIF(项目基本情况!D$15:I$15,C7,项目基本情况!D$19:I$19)</f>
        <v>68.27</v>
      </c>
      <c r="G7" s="174">
        <f t="shared" ref="G7:G11" si="2">IF(ISERROR(ROUND(POWER(1+H7,D7-F7)*(POWER(1+H7,F7)-1)/(POWER(1+H7,D7)-1),3)),0,ROUND(POWER(1+H7,D7-F7)*(POWER(1+H7,F7)-1)/(POWER(1+H7,D7)-1),3))</f>
        <v>0.996</v>
      </c>
      <c r="H7" s="3039">
        <v>4.4999999999999998E-2</v>
      </c>
      <c r="I7" s="3039">
        <v>0.05</v>
      </c>
      <c r="J7" s="175">
        <v>8.5000000000000006E-2</v>
      </c>
      <c r="K7" s="178">
        <f>SUMIF('数据-汇总表'!C$19:C$33,'数据-取费表'!A7,'数据-汇总表'!E$19:E$33)</f>
        <v>932.57000000000244</v>
      </c>
      <c r="L7" s="3040">
        <f>L25</f>
        <v>2200</v>
      </c>
      <c r="M7" s="176">
        <f t="shared" si="0"/>
        <v>205</v>
      </c>
      <c r="N7" s="3041">
        <f>N6</f>
        <v>0</v>
      </c>
      <c r="O7" s="176">
        <f t="shared" ref="O7:O14" si="3">IF($N$5="成新度","——",ROUND(M7*N7,0))</f>
        <v>0</v>
      </c>
      <c r="P7" s="177">
        <f t="shared" ref="P7:P14" si="4">IF($N$5="成新度","——",M7-O7)</f>
        <v>205</v>
      </c>
      <c r="Q7" s="3042">
        <v>0.1</v>
      </c>
      <c r="R7" s="178">
        <f>SUMIF('数据-汇总表'!C$19:C$33,A7,'数据-汇总表'!R$19:R$33)</f>
        <v>395.52000000000004</v>
      </c>
      <c r="S7" s="131">
        <f>IF('数据-汇总表'!$I$17="按面积比例",SUMIF('数据-汇总表'!C$19:C$33,A7,'数据-汇总表'!K$19:K$33),SUMIF('数据-汇总表'!C$19:C$33,A7,'数据-汇总表'!N$19:N$33))</f>
        <v>7.65</v>
      </c>
      <c r="T7" s="2227">
        <f t="shared" ref="T7:T13" si="5">IF($T$4="按面积比例",IF(ISERROR(ROUND($M$14*S7/S$16,0)),"0",ROUND($M$14*S7/S$16,0)),"需自行计算录入")</f>
        <v>1</v>
      </c>
      <c r="U7" s="179"/>
      <c r="V7" s="180"/>
      <c r="W7" s="180"/>
      <c r="X7" s="2312"/>
      <c r="Y7" s="181"/>
      <c r="Z7" s="182"/>
      <c r="AA7" s="175"/>
      <c r="AB7" s="175"/>
      <c r="AC7" s="2315"/>
      <c r="AD7" s="183"/>
      <c r="AE7" s="968">
        <f t="shared" ref="AE7:AE13" ca="1" si="6">IF(AN7="",0,SUMIF(INDIRECT("'"&amp;AN7&amp;"'"&amp;"!E:E"),$AE$5,INDIRECT("'"&amp;AN7&amp;"'"&amp;"!F:F")))</f>
        <v>0</v>
      </c>
      <c r="AF7" s="140"/>
      <c r="AG7" s="1208">
        <f t="shared" ref="AG7:AG13" si="7">IF(AF7="",0,AE7-AF7)</f>
        <v>0</v>
      </c>
      <c r="AH7" s="140"/>
      <c r="AI7" s="186"/>
      <c r="AJ7" s="187"/>
      <c r="AK7" s="188"/>
      <c r="AL7" s="189"/>
      <c r="AM7" s="2405"/>
      <c r="AN7" s="2407"/>
      <c r="AO7" s="1993"/>
      <c r="AP7" s="1199">
        <f t="shared" ref="AP7:AP13" si="8">ROUND(1-1/(1+H7)^F7,3)</f>
        <v>0.95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3" t="str">
        <f>'数据-汇总表'!C21</f>
        <v>洋房精装</v>
      </c>
      <c r="B8" s="2328" t="str">
        <f t="shared" si="1"/>
        <v>经营性</v>
      </c>
      <c r="C8" s="172" t="s">
        <v>922</v>
      </c>
      <c r="D8" s="2299">
        <f>SUMIF(项目基本情况!D$15:I$15,C8,项目基本情况!D$18:I$18)</f>
        <v>70</v>
      </c>
      <c r="E8" s="2300">
        <f>IF(B8="","",SUMIF(项目基本情况!D$15:I$15,C8,项目基本情况!D$17:I$17))</f>
        <v>68234</v>
      </c>
      <c r="F8" s="173">
        <f>SUMIF(项目基本情况!D$15:I$15,C8,项目基本情况!D$19:I$19)</f>
        <v>68.27</v>
      </c>
      <c r="G8" s="174">
        <f t="shared" si="2"/>
        <v>0.996</v>
      </c>
      <c r="H8" s="3039">
        <v>4.4999999999999998E-2</v>
      </c>
      <c r="I8" s="3039">
        <v>0.05</v>
      </c>
      <c r="J8" s="175">
        <v>8.5000000000000006E-2</v>
      </c>
      <c r="K8" s="178">
        <f>SUMIF('数据-汇总表'!C$19:C$33,'数据-取费表'!A8,'数据-汇总表'!E$19:E$33)</f>
        <v>55890.069999999992</v>
      </c>
      <c r="L8" s="3040">
        <v>3500</v>
      </c>
      <c r="M8" s="176">
        <f>ROUND(K8*L8/10000,0)</f>
        <v>19562</v>
      </c>
      <c r="N8" s="3041">
        <f>N6</f>
        <v>0</v>
      </c>
      <c r="O8" s="176">
        <f t="shared" si="3"/>
        <v>0</v>
      </c>
      <c r="P8" s="177">
        <f t="shared" si="4"/>
        <v>19562</v>
      </c>
      <c r="Q8" s="3042">
        <v>0.1</v>
      </c>
      <c r="R8" s="178">
        <f>SUMIF('数据-汇总表'!C$19:C$33,A8,'数据-汇总表'!R$19:R$33)</f>
        <v>23703.65</v>
      </c>
      <c r="S8" s="131">
        <f>IF('数据-汇总表'!$I$17="按面积比例",SUMIF('数据-汇总表'!C$19:C$33,A8,'数据-汇总表'!K$19:K$33),SUMIF('数据-汇总表'!C$19:C$33,A8,'数据-汇总表'!N$19:N$33))</f>
        <v>458.25</v>
      </c>
      <c r="T8" s="2227">
        <f t="shared" si="5"/>
        <v>82</v>
      </c>
      <c r="U8" s="179"/>
      <c r="V8" s="180"/>
      <c r="W8" s="180"/>
      <c r="X8" s="2312"/>
      <c r="Y8" s="181"/>
      <c r="Z8" s="182"/>
      <c r="AA8" s="175"/>
      <c r="AB8" s="175"/>
      <c r="AC8" s="2315"/>
      <c r="AD8" s="183"/>
      <c r="AE8" s="968">
        <f t="shared" ca="1" si="6"/>
        <v>0</v>
      </c>
      <c r="AF8" s="140"/>
      <c r="AG8" s="1208">
        <f t="shared" si="7"/>
        <v>0</v>
      </c>
      <c r="AH8" s="140"/>
      <c r="AI8" s="186"/>
      <c r="AJ8" s="187"/>
      <c r="AK8" s="188"/>
      <c r="AL8" s="189"/>
      <c r="AM8" s="2405"/>
      <c r="AN8" s="2407"/>
      <c r="AO8" s="1993"/>
      <c r="AP8" s="1199">
        <f t="shared" si="8"/>
        <v>0.95</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3" t="str">
        <f>'数据-汇总表'!C22</f>
        <v>洋房毛坯</v>
      </c>
      <c r="B9" s="2328" t="str">
        <f t="shared" si="1"/>
        <v>经营性</v>
      </c>
      <c r="C9" s="172" t="s">
        <v>922</v>
      </c>
      <c r="D9" s="2299">
        <f>SUMIF(项目基本情况!D$15:I$15,C9,项目基本情况!D$18:I$18)</f>
        <v>70</v>
      </c>
      <c r="E9" s="2300">
        <f>IF(B9="","",SUMIF(项目基本情况!D$15:I$15,C9,项目基本情况!D$17:I$17))</f>
        <v>68234</v>
      </c>
      <c r="F9" s="173">
        <f>SUMIF(项目基本情况!D$15:I$15,C9,项目基本情况!D$19:I$19)</f>
        <v>68.27</v>
      </c>
      <c r="G9" s="174">
        <f t="shared" si="2"/>
        <v>0.996</v>
      </c>
      <c r="H9" s="175">
        <v>4.4999999999999998E-2</v>
      </c>
      <c r="I9" s="175">
        <v>0.05</v>
      </c>
      <c r="J9" s="175">
        <v>8.5000000000000006E-2</v>
      </c>
      <c r="K9" s="178">
        <f>SUMIF('数据-汇总表'!C$19:C$33,'数据-取费表'!A9,'数据-汇总表'!E$19:E$33)</f>
        <v>4603.2199999999975</v>
      </c>
      <c r="L9" s="192">
        <v>2200</v>
      </c>
      <c r="M9" s="176">
        <f t="shared" si="0"/>
        <v>1013</v>
      </c>
      <c r="N9" s="193">
        <f>N6</f>
        <v>0</v>
      </c>
      <c r="O9" s="176">
        <f t="shared" si="3"/>
        <v>0</v>
      </c>
      <c r="P9" s="177">
        <f t="shared" si="4"/>
        <v>1013</v>
      </c>
      <c r="Q9" s="3042">
        <v>0.1</v>
      </c>
      <c r="R9" s="178">
        <f>SUMIF('数据-汇总表'!C$19:C$33,A9,'数据-汇总表'!R$19:R$33)</f>
        <v>1952.2800000000002</v>
      </c>
      <c r="S9" s="131">
        <f>IF('数据-汇总表'!$I$17="按面积比例",SUMIF('数据-汇总表'!C$19:C$33,A9,'数据-汇总表'!K$19:K$33),SUMIF('数据-汇总表'!C$19:C$33,A9,'数据-汇总表'!N$19:N$33))</f>
        <v>37.74</v>
      </c>
      <c r="T9" s="2227">
        <f t="shared" si="5"/>
        <v>7</v>
      </c>
      <c r="U9" s="179"/>
      <c r="V9" s="180"/>
      <c r="W9" s="180"/>
      <c r="X9" s="2312"/>
      <c r="Y9" s="181"/>
      <c r="Z9" s="182"/>
      <c r="AA9" s="175"/>
      <c r="AB9" s="175"/>
      <c r="AC9" s="2315"/>
      <c r="AD9" s="183"/>
      <c r="AE9" s="968">
        <f t="shared" ca="1" si="6"/>
        <v>0</v>
      </c>
      <c r="AF9" s="140"/>
      <c r="AG9" s="1208">
        <f t="shared" si="7"/>
        <v>0</v>
      </c>
      <c r="AH9" s="140"/>
      <c r="AI9" s="186"/>
      <c r="AJ9" s="187"/>
      <c r="AK9" s="188"/>
      <c r="AL9" s="189"/>
      <c r="AM9" s="2405"/>
      <c r="AN9" s="2407"/>
      <c r="AO9" s="1993"/>
      <c r="AP9" s="1199">
        <f t="shared" si="8"/>
        <v>0.95</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3" t="str">
        <f>'数据-汇总表'!C23</f>
        <v>商业</v>
      </c>
      <c r="B10" s="2328" t="str">
        <f t="shared" si="1"/>
        <v>经营性</v>
      </c>
      <c r="C10" s="172" t="s">
        <v>2993</v>
      </c>
      <c r="D10" s="2299">
        <f>SUMIF(项目基本情况!D$15:I$15,C10,项目基本情况!D$18:I$18)</f>
        <v>40</v>
      </c>
      <c r="E10" s="2300">
        <f>IF(B10="","",SUMIF(项目基本情况!D$15:I$15,C10,项目基本情况!D$17:I$17))</f>
        <v>57277</v>
      </c>
      <c r="F10" s="173">
        <f>SUMIF(项目基本情况!D$15:I$15,C10,项目基本情况!D$19:I$19)</f>
        <v>38.25</v>
      </c>
      <c r="G10" s="174">
        <f t="shared" si="2"/>
        <v>0.98499999999999999</v>
      </c>
      <c r="H10" s="175">
        <v>0.05</v>
      </c>
      <c r="I10" s="175">
        <v>5.5E-2</v>
      </c>
      <c r="J10" s="175">
        <v>8.5000000000000006E-2</v>
      </c>
      <c r="K10" s="178">
        <f>SUMIF('数据-汇总表'!C$19:C$33,'数据-取费表'!A10,'数据-汇总表'!E$19:E$33)</f>
        <v>4866.7</v>
      </c>
      <c r="L10" s="192">
        <v>2500</v>
      </c>
      <c r="M10" s="176">
        <f t="shared" si="0"/>
        <v>1217</v>
      </c>
      <c r="N10" s="193">
        <f>N6</f>
        <v>0</v>
      </c>
      <c r="O10" s="176">
        <f t="shared" si="3"/>
        <v>0</v>
      </c>
      <c r="P10" s="177">
        <f t="shared" si="4"/>
        <v>1217</v>
      </c>
      <c r="Q10" s="3042">
        <v>0.1</v>
      </c>
      <c r="R10" s="178">
        <f>SUMIF('数据-汇总表'!C$19:C$33,A10,'数据-汇总表'!R$19:R$33)</f>
        <v>2064.02</v>
      </c>
      <c r="S10" s="131">
        <f>IF('数据-汇总表'!$I$17="按面积比例",SUMIF('数据-汇总表'!C$19:C$33,A10,'数据-汇总表'!K$19:K$33),SUMIF('数据-汇总表'!C$19:C$33,A10,'数据-汇总表'!N$19:N$33))</f>
        <v>39.9</v>
      </c>
      <c r="T10" s="2227">
        <f t="shared" si="5"/>
        <v>7</v>
      </c>
      <c r="U10" s="179"/>
      <c r="V10" s="180"/>
      <c r="W10" s="180"/>
      <c r="X10" s="2312"/>
      <c r="Y10" s="181"/>
      <c r="Z10" s="182"/>
      <c r="AA10" s="175"/>
      <c r="AB10" s="175"/>
      <c r="AC10" s="2315"/>
      <c r="AD10" s="183"/>
      <c r="AE10" s="968">
        <f t="shared" ca="1" si="6"/>
        <v>0</v>
      </c>
      <c r="AF10" s="140"/>
      <c r="AG10" s="1208">
        <f t="shared" si="7"/>
        <v>0</v>
      </c>
      <c r="AH10" s="140"/>
      <c r="AI10" s="186"/>
      <c r="AJ10" s="187"/>
      <c r="AK10" s="188"/>
      <c r="AL10" s="189"/>
      <c r="AM10" s="2405"/>
      <c r="AN10" s="2407"/>
      <c r="AO10" s="1993"/>
      <c r="AP10" s="1199">
        <f t="shared" si="8"/>
        <v>0.84499999999999997</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3" t="str">
        <f>'数据-汇总表'!C24</f>
        <v>地下车库</v>
      </c>
      <c r="B11" s="2328" t="str">
        <f t="shared" si="1"/>
        <v>经营性</v>
      </c>
      <c r="C11" s="172" t="s">
        <v>4048</v>
      </c>
      <c r="D11" s="2299">
        <f>SUMIF(项目基本情况!D$15:I$15,C11,项目基本情况!D$18:I$18)</f>
        <v>50</v>
      </c>
      <c r="E11" s="2300">
        <f>IF(B11="","",SUMIF(项目基本情况!D$15:I$15,C11,项目基本情况!D$17:I$17))</f>
        <v>60929</v>
      </c>
      <c r="F11" s="173">
        <f>SUMIF(项目基本情况!D$15:I$15,C11,项目基本情况!D$19:I$19)</f>
        <v>48.26</v>
      </c>
      <c r="G11" s="174">
        <f t="shared" si="2"/>
        <v>0.98799999999999999</v>
      </c>
      <c r="H11" s="175">
        <v>0.04</v>
      </c>
      <c r="I11" s="175">
        <v>4.4999999999999998E-2</v>
      </c>
      <c r="J11" s="175">
        <v>8.5000000000000006E-2</v>
      </c>
      <c r="K11" s="178">
        <f>SUMIF('数据-汇总表'!C$19:C$33,'数据-取费表'!A11,'数据-汇总表'!E$19:E$33)</f>
        <v>71600</v>
      </c>
      <c r="L11" s="192">
        <v>1800</v>
      </c>
      <c r="M11" s="176">
        <f t="shared" si="0"/>
        <v>12888</v>
      </c>
      <c r="N11" s="193">
        <f>N6</f>
        <v>0</v>
      </c>
      <c r="O11" s="176">
        <f t="shared" si="3"/>
        <v>0</v>
      </c>
      <c r="P11" s="177">
        <f t="shared" si="4"/>
        <v>12888</v>
      </c>
      <c r="Q11" s="191">
        <v>0.05</v>
      </c>
      <c r="R11" s="178">
        <f>SUMIF('数据-汇总表'!C$19:C$33,A11,'数据-汇总表'!R$19:R$33)</f>
        <v>30366.420000000002</v>
      </c>
      <c r="S11" s="131">
        <f>IF('数据-汇总表'!$I$17="按面积比例",SUMIF('数据-汇总表'!C$19:C$33,A11,'数据-汇总表'!K$19:K$33),SUMIF('数据-汇总表'!C$19:C$33,A11,'数据-汇总表'!N$19:N$33))</f>
        <v>587.05999999999995</v>
      </c>
      <c r="T11" s="2227">
        <f t="shared" si="5"/>
        <v>106</v>
      </c>
      <c r="U11" s="184">
        <v>0.9</v>
      </c>
      <c r="V11" s="175">
        <v>0.03</v>
      </c>
      <c r="W11" s="175">
        <v>0.1</v>
      </c>
      <c r="X11" s="2315"/>
      <c r="Y11" s="181">
        <v>1</v>
      </c>
      <c r="Z11" s="194"/>
      <c r="AA11" s="175"/>
      <c r="AB11" s="175"/>
      <c r="AC11" s="2315"/>
      <c r="AD11" s="183"/>
      <c r="AE11" s="968">
        <f t="shared" ca="1" si="6"/>
        <v>46.26</v>
      </c>
      <c r="AF11" s="140"/>
      <c r="AG11" s="1208">
        <f t="shared" si="7"/>
        <v>0</v>
      </c>
      <c r="AH11" s="140"/>
      <c r="AI11" s="186">
        <v>365</v>
      </c>
      <c r="AJ11" s="187"/>
      <c r="AK11" s="195">
        <v>1.4999999999999999E-2</v>
      </c>
      <c r="AL11" s="196">
        <v>1.5E-3</v>
      </c>
      <c r="AM11" s="1810">
        <v>0.01</v>
      </c>
      <c r="AN11" s="2407" t="s">
        <v>4274</v>
      </c>
      <c r="AO11" s="1993"/>
      <c r="AP11" s="1199">
        <f t="shared" si="8"/>
        <v>0.84899999999999998</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3">
        <f>'数据-汇总表'!C25</f>
        <v>0</v>
      </c>
      <c r="B12" s="2328" t="str">
        <f t="shared" si="1"/>
        <v/>
      </c>
      <c r="C12" s="172"/>
      <c r="D12" s="2299">
        <f>SUMIF(项目基本情况!D$15:I$15,C12,项目基本情况!D$18:I$18)</f>
        <v>0</v>
      </c>
      <c r="E12" s="230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7">
        <f t="shared" si="5"/>
        <v>0</v>
      </c>
      <c r="U12" s="184"/>
      <c r="V12" s="175"/>
      <c r="W12" s="175"/>
      <c r="X12" s="2315"/>
      <c r="Y12" s="181"/>
      <c r="Z12" s="194"/>
      <c r="AA12" s="175"/>
      <c r="AB12" s="175"/>
      <c r="AC12" s="2315"/>
      <c r="AD12" s="183"/>
      <c r="AE12" s="968">
        <f t="shared" ca="1" si="6"/>
        <v>0</v>
      </c>
      <c r="AF12" s="140"/>
      <c r="AG12" s="1208">
        <f t="shared" si="7"/>
        <v>0</v>
      </c>
      <c r="AH12" s="140"/>
      <c r="AI12" s="186"/>
      <c r="AJ12" s="187"/>
      <c r="AK12" s="195"/>
      <c r="AL12" s="196"/>
      <c r="AM12" s="1810"/>
      <c r="AN12" s="2407"/>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3">
        <f>'数据-汇总表'!C26</f>
        <v>0</v>
      </c>
      <c r="B13" s="2328" t="str">
        <f t="shared" si="1"/>
        <v/>
      </c>
      <c r="C13" s="172"/>
      <c r="D13" s="2299">
        <f>SUMIF(项目基本情况!D$15:I$15,C13,项目基本情况!D$18:I$18)</f>
        <v>0</v>
      </c>
      <c r="E13" s="230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7">
        <f t="shared" si="5"/>
        <v>0</v>
      </c>
      <c r="U13" s="179"/>
      <c r="V13" s="180"/>
      <c r="W13" s="180"/>
      <c r="X13" s="2312"/>
      <c r="Y13" s="181"/>
      <c r="Z13" s="182"/>
      <c r="AA13" s="175"/>
      <c r="AB13" s="175"/>
      <c r="AC13" s="2315"/>
      <c r="AD13" s="183"/>
      <c r="AE13" s="968">
        <f t="shared" ca="1" si="6"/>
        <v>0</v>
      </c>
      <c r="AF13" s="140"/>
      <c r="AG13" s="1208">
        <f t="shared" si="7"/>
        <v>0</v>
      </c>
      <c r="AH13" s="140"/>
      <c r="AI13" s="186"/>
      <c r="AJ13" s="187"/>
      <c r="AK13" s="188"/>
      <c r="AL13" s="189"/>
      <c r="AM13" s="2405"/>
      <c r="AN13" s="2407"/>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4" t="s">
        <v>2314</v>
      </c>
      <c r="B14" s="2297" t="s">
        <v>1679</v>
      </c>
      <c r="C14" s="2298" t="s">
        <v>2314</v>
      </c>
      <c r="D14" s="2299"/>
      <c r="E14" s="2300"/>
      <c r="F14" s="173"/>
      <c r="G14" s="174"/>
      <c r="H14" s="2301"/>
      <c r="I14" s="2301"/>
      <c r="J14" s="2301"/>
      <c r="K14" s="178">
        <f>SUMIF('数据-汇总表'!C$19:C$33,'数据-取费表'!A14,'数据-汇总表'!E$19:E$33)</f>
        <v>1161.1899999999996</v>
      </c>
      <c r="L14" s="192">
        <v>1800</v>
      </c>
      <c r="M14" s="176">
        <f t="shared" si="0"/>
        <v>209</v>
      </c>
      <c r="N14" s="193">
        <f>N6</f>
        <v>0</v>
      </c>
      <c r="O14" s="176">
        <f t="shared" si="3"/>
        <v>0</v>
      </c>
      <c r="P14" s="177">
        <f t="shared" si="4"/>
        <v>209</v>
      </c>
      <c r="Q14" s="2309"/>
      <c r="R14" s="178"/>
      <c r="S14" s="131"/>
      <c r="T14" s="2308"/>
      <c r="U14" s="970"/>
      <c r="V14" s="2311"/>
      <c r="W14" s="2311"/>
      <c r="X14" s="2312"/>
      <c r="Y14" s="2313"/>
      <c r="Z14" s="135"/>
      <c r="AA14" s="2314"/>
      <c r="AB14" s="2314"/>
      <c r="AC14" s="2315"/>
      <c r="AD14" s="2312"/>
      <c r="AE14" s="968"/>
      <c r="AF14" s="2287"/>
      <c r="AG14" s="1208"/>
      <c r="AH14" s="2287"/>
      <c r="AI14" s="1565"/>
      <c r="AJ14" s="1565"/>
      <c r="AK14" s="2316"/>
      <c r="AL14" s="2317"/>
      <c r="AM14" s="2318"/>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3" t="s">
        <v>2316</v>
      </c>
      <c r="B15" s="2297" t="s">
        <v>1679</v>
      </c>
      <c r="C15" s="2298" t="s">
        <v>2315</v>
      </c>
      <c r="D15" s="2299"/>
      <c r="E15" s="2300"/>
      <c r="F15" s="173"/>
      <c r="G15" s="174"/>
      <c r="H15" s="2301"/>
      <c r="I15" s="2301"/>
      <c r="J15" s="2301"/>
      <c r="K15" s="178">
        <f>SUMIF('数据-汇总表'!C$19:C$33,'数据-取费表'!A15,'数据-汇总表'!E$19:E$33)</f>
        <v>22415.63</v>
      </c>
      <c r="L15" s="2307"/>
      <c r="M15" s="176"/>
      <c r="N15" s="2310"/>
      <c r="O15" s="176"/>
      <c r="P15" s="177"/>
      <c r="Q15" s="2309"/>
      <c r="R15" s="178"/>
      <c r="S15" s="131"/>
      <c r="T15" s="2308"/>
      <c r="U15" s="970"/>
      <c r="V15" s="2311"/>
      <c r="W15" s="2311"/>
      <c r="X15" s="2312"/>
      <c r="Y15" s="2313"/>
      <c r="Z15" s="135"/>
      <c r="AA15" s="2314"/>
      <c r="AB15" s="2314"/>
      <c r="AC15" s="2315"/>
      <c r="AD15" s="2312"/>
      <c r="AE15" s="968"/>
      <c r="AF15" s="2287"/>
      <c r="AG15" s="1208"/>
      <c r="AH15" s="2287"/>
      <c r="AI15" s="1565"/>
      <c r="AJ15" s="1565"/>
      <c r="AK15" s="2316"/>
      <c r="AL15" s="2317"/>
      <c r="AM15" s="2318"/>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0.99199999999999999</v>
      </c>
      <c r="H16" s="202">
        <f>ROUND(SUMPRODUCT(H6:H13,K6:K13)/SUMPRODUCT((H6:H13&gt;0)*(K6:K13)),3)</f>
        <v>4.2999999999999997E-2</v>
      </c>
      <c r="I16" s="203"/>
      <c r="J16" s="203"/>
      <c r="K16" s="204">
        <f>SUM(K6:K15)</f>
        <v>165200.35999999996</v>
      </c>
      <c r="L16" s="205">
        <f>ROUND(M16*10000/SUM(K6:K14),0)</f>
        <v>2515</v>
      </c>
      <c r="M16" s="205">
        <f>SUM(M6:M14)</f>
        <v>35915</v>
      </c>
      <c r="N16" s="206">
        <f>ROUND(SUMPRODUCT(M6:M14,N6:N14)/M16,3)</f>
        <v>0</v>
      </c>
      <c r="O16" s="205">
        <f>SUM(O6:O14)</f>
        <v>0</v>
      </c>
      <c r="P16" s="205">
        <f>SUM(P6:P14)</f>
        <v>35915</v>
      </c>
      <c r="Q16" s="207">
        <f>ROUND(SUMPRODUCT(Q6:Q13,K6:K13)/SUMPRODUCT((Q6:Q13&gt;0)*(K6:K13)),2)</f>
        <v>7.0000000000000007E-2</v>
      </c>
      <c r="R16" s="2302">
        <f>SUM(R6:R13)</f>
        <v>60064.25</v>
      </c>
      <c r="S16" s="208">
        <f>SUM(S6:S13)</f>
        <v>1161.19</v>
      </c>
      <c r="T16" s="209">
        <f>IF(SUMIF(T6:T13,"&lt;9E307")=M14,SUMIF(T6:T13,"&lt;9E307"),"有误，请检查")</f>
        <v>209</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0.89500000000000002</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49" t="s">
        <v>263</v>
      </c>
      <c r="B18" s="1199"/>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5" t="s">
        <v>2336</v>
      </c>
      <c r="D19" s="1986"/>
      <c r="E19" s="1985"/>
      <c r="F19" s="1985"/>
      <c r="G19" s="1985"/>
      <c r="H19" s="1985"/>
      <c r="I19" s="1985"/>
      <c r="J19" s="1985"/>
      <c r="K19" s="3217" t="s">
        <v>4058</v>
      </c>
      <c r="L19" s="1966"/>
      <c r="M19" s="1990"/>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3247">
        <v>2</v>
      </c>
      <c r="C20" s="2355" t="s">
        <v>2335</v>
      </c>
      <c r="D20" s="1986"/>
      <c r="E20" s="1985"/>
      <c r="F20" s="1985"/>
      <c r="G20" s="1985"/>
      <c r="H20" s="1985"/>
      <c r="I20" s="1985"/>
      <c r="J20" s="1985"/>
      <c r="K20" s="3217" t="s">
        <v>4059</v>
      </c>
      <c r="L20" s="1966">
        <v>2000</v>
      </c>
      <c r="M20" s="1990"/>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19" t="s">
        <v>266</v>
      </c>
      <c r="B21" s="3247">
        <v>0</v>
      </c>
      <c r="C21" s="1985"/>
      <c r="D21" s="1986"/>
      <c r="E21" s="1985"/>
      <c r="F21" s="1985"/>
      <c r="G21" s="1985"/>
      <c r="H21" s="1985"/>
      <c r="I21" s="1985"/>
      <c r="J21" s="1985"/>
      <c r="K21" s="3217" t="s">
        <v>4060</v>
      </c>
      <c r="L21" s="1966">
        <v>2400</v>
      </c>
      <c r="M21" s="1990"/>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0">
        <f>B19+B20</f>
        <v>2</v>
      </c>
      <c r="C22" s="1985"/>
      <c r="D22" s="1986"/>
      <c r="E22" s="1985"/>
      <c r="F22" s="1985"/>
      <c r="G22" s="1985"/>
      <c r="H22" s="1985"/>
      <c r="I22" s="1985"/>
      <c r="J22" s="1985"/>
      <c r="K22" s="3217" t="s">
        <v>4061</v>
      </c>
      <c r="L22" s="1966">
        <v>2600</v>
      </c>
      <c r="M22" s="1990"/>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19" t="s">
        <v>268</v>
      </c>
      <c r="B23" s="220">
        <f>B19+B21</f>
        <v>0</v>
      </c>
      <c r="C23" s="1985"/>
      <c r="D23" s="1986"/>
      <c r="E23" s="1985"/>
      <c r="F23" s="1985"/>
      <c r="G23" s="1985"/>
      <c r="H23" s="1985"/>
      <c r="I23" s="1985"/>
      <c r="J23" s="1985"/>
      <c r="K23" s="3218" t="s">
        <v>4064</v>
      </c>
      <c r="L23" s="3218" t="s">
        <v>4065</v>
      </c>
      <c r="M23" s="3221" t="s">
        <v>4066</v>
      </c>
      <c r="N23" s="3221"/>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1" t="s">
        <v>269</v>
      </c>
      <c r="B24" s="222">
        <f>B20-B21</f>
        <v>2</v>
      </c>
      <c r="C24" s="1985"/>
      <c r="D24" s="1986"/>
      <c r="E24" s="1985"/>
      <c r="F24" s="1985"/>
      <c r="G24" s="1985"/>
      <c r="H24" s="1985"/>
      <c r="I24" s="1985"/>
      <c r="J24" s="1985"/>
      <c r="K24" s="3218" t="s">
        <v>4061</v>
      </c>
      <c r="L24" s="3220">
        <v>2400</v>
      </c>
      <c r="M24" s="3222">
        <f>'数据-汇总表'!F19</f>
        <v>3730.9799999999577</v>
      </c>
      <c r="N24" s="322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3218" t="s">
        <v>4060</v>
      </c>
      <c r="L25" s="3220">
        <v>2200</v>
      </c>
      <c r="M25" s="3222">
        <f>'数据-汇总表'!F20</f>
        <v>932.57000000000244</v>
      </c>
      <c r="N25" s="322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26.25" thickBot="1">
      <c r="A26" s="148" t="s">
        <v>270</v>
      </c>
      <c r="B26" s="223" t="s">
        <v>271</v>
      </c>
      <c r="C26" s="1988" t="s">
        <v>272</v>
      </c>
      <c r="D26" s="1986"/>
      <c r="E26" s="1985"/>
      <c r="F26" s="1985"/>
      <c r="G26" s="1985"/>
      <c r="H26" s="1985"/>
      <c r="I26" s="1985"/>
      <c r="J26" s="1985"/>
      <c r="K26" s="3219" t="s">
        <v>4062</v>
      </c>
      <c r="L26" s="3220">
        <v>2000</v>
      </c>
      <c r="M26" s="3222">
        <f>已售汇总!L2+已售汇总!L7+已售汇总!N17+已售汇总!L19</f>
        <v>4603.2199999999975</v>
      </c>
      <c r="N26" s="322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4" t="s">
        <v>2338</v>
      </c>
      <c r="B27" s="225">
        <v>290</v>
      </c>
      <c r="C27" s="2358" t="s">
        <v>2342</v>
      </c>
      <c r="D27" s="1989"/>
      <c r="E27" s="1987"/>
      <c r="F27" s="1987"/>
      <c r="G27" s="1985"/>
      <c r="H27" s="1985"/>
      <c r="I27" s="1985"/>
      <c r="J27" s="1985"/>
      <c r="K27" s="3218" t="s">
        <v>4063</v>
      </c>
      <c r="L27" s="3220">
        <v>3300</v>
      </c>
      <c r="M27" s="3222">
        <f>已售汇总!F9-M26</f>
        <v>55890.069999999992</v>
      </c>
      <c r="N27" s="322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6" t="s">
        <v>2339</v>
      </c>
      <c r="B28" s="227">
        <v>320</v>
      </c>
      <c r="C28" s="2357"/>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29" t="s">
        <v>2337</v>
      </c>
      <c r="B29" s="3249">
        <v>5675</v>
      </c>
      <c r="C29" s="1546"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2" t="s">
        <v>273</v>
      </c>
      <c r="B30" s="3216">
        <v>150</v>
      </c>
      <c r="C30" s="2357"/>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6" t="s">
        <v>274</v>
      </c>
      <c r="B31" s="228">
        <f>B30-B32</f>
        <v>0</v>
      </c>
      <c r="C31" s="2358"/>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4" t="s">
        <v>275</v>
      </c>
      <c r="B32" s="3255">
        <v>150</v>
      </c>
      <c r="C32" s="2357"/>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4" t="s">
        <v>278</v>
      </c>
      <c r="B33" s="1372">
        <v>0.03</v>
      </c>
      <c r="C33" s="2356" t="s">
        <v>2891</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6" t="s">
        <v>279</v>
      </c>
      <c r="B34" s="230">
        <v>0.03</v>
      </c>
      <c r="C34" s="2356" t="s">
        <v>2892</v>
      </c>
      <c r="D34" s="1986" t="s">
        <v>870</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6" t="s">
        <v>276</v>
      </c>
      <c r="B35" s="227">
        <v>150</v>
      </c>
      <c r="C35" s="2356" t="s">
        <v>2893</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29" t="s">
        <v>277</v>
      </c>
      <c r="B36" s="231">
        <v>1.4999999999999999E-2</v>
      </c>
      <c r="C36" s="2356" t="s">
        <v>2894</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2" t="s">
        <v>280</v>
      </c>
      <c r="B37" s="233">
        <v>0.02</v>
      </c>
      <c r="C37" s="2356" t="s">
        <v>2895</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6" t="s">
        <v>281</v>
      </c>
      <c r="B38" s="230">
        <v>0.02</v>
      </c>
      <c r="C38" s="2356" t="s">
        <v>2895</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4" t="s">
        <v>2457</v>
      </c>
      <c r="B39" s="797">
        <f ca="1">存贷款利率!C4</f>
        <v>1.4999999999999999E-2</v>
      </c>
      <c r="C39" s="2356"/>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4" t="s">
        <v>2458</v>
      </c>
      <c r="B40" s="2496">
        <f ca="1">存贷款利率!E2</f>
        <v>4.7500000000000001E-2</v>
      </c>
      <c r="C40" s="2356"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4" t="s">
        <v>282</v>
      </c>
      <c r="B41" s="235">
        <f>B42+B43</f>
        <v>5.6500000000000002E-2</v>
      </c>
      <c r="C41" s="2358"/>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7">
        <v>0.05</v>
      </c>
      <c r="C42" s="3111">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8">
        <f>B42*(B44+B45+B46)+B47</f>
        <v>6.5000000000000006E-3</v>
      </c>
      <c r="C43" s="2358"/>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6" t="s">
        <v>2896</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58" t="s">
        <v>2897</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58" t="s">
        <v>2898</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5.0000000000000001E-4</v>
      </c>
      <c r="C47" s="3088" t="s">
        <v>2899</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0.03</v>
      </c>
      <c r="C48" s="3089" t="s">
        <v>2900</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89" t="s">
        <v>2901</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7"/>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29" t="s">
        <v>292</v>
      </c>
      <c r="B51" s="246">
        <v>0.12</v>
      </c>
      <c r="C51" s="2357"/>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15</v>
      </c>
      <c r="C52" s="2357"/>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6" t="s">
        <v>294</v>
      </c>
      <c r="B53" s="248" t="s">
        <v>1326</v>
      </c>
      <c r="C53" s="3090" t="s">
        <v>2902</v>
      </c>
      <c r="D53" s="3091" t="s">
        <v>2903</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3" t="s">
        <v>2904</v>
      </c>
      <c r="B54" s="185"/>
      <c r="C54" s="1987">
        <v>30</v>
      </c>
      <c r="D54" s="3092"/>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3" t="s">
        <v>2905</v>
      </c>
      <c r="B55" s="185"/>
      <c r="C55" s="1987">
        <v>24</v>
      </c>
      <c r="D55" s="3092"/>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3" t="s">
        <v>2906</v>
      </c>
      <c r="B56" s="185">
        <v>15</v>
      </c>
      <c r="C56" s="1987">
        <v>18</v>
      </c>
      <c r="D56" s="3092"/>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3" t="s">
        <v>2907</v>
      </c>
      <c r="B57" s="185"/>
      <c r="C57" s="1987">
        <v>12</v>
      </c>
      <c r="D57" s="3092"/>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3" t="s">
        <v>2908</v>
      </c>
      <c r="B58" s="185"/>
      <c r="C58" s="1987">
        <v>3</v>
      </c>
      <c r="D58" s="3092"/>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3" t="s">
        <v>2909</v>
      </c>
      <c r="B59" s="185"/>
      <c r="C59" s="1987">
        <v>1.5</v>
      </c>
      <c r="D59" s="3092"/>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3" t="s">
        <v>2910</v>
      </c>
      <c r="B60" s="185"/>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3" t="s">
        <v>2911</v>
      </c>
      <c r="B61" s="185"/>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3" t="s">
        <v>2912</v>
      </c>
      <c r="B62" s="185"/>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4" t="s">
        <v>2913</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J69" s="1991">
        <v>100975.4</v>
      </c>
      <c r="K69" s="57">
        <v>2</v>
      </c>
      <c r="L69" s="57">
        <f>J69*K69</f>
        <v>201950.8</v>
      </c>
    </row>
    <row r="70" spans="1:12" s="1991" customFormat="1">
      <c r="A70" s="250"/>
      <c r="D70" s="1992"/>
      <c r="J70" s="1991">
        <v>18615</v>
      </c>
      <c r="K70" s="57">
        <v>0.8</v>
      </c>
      <c r="L70" s="57">
        <f t="shared" ref="L70" si="9">J70*K70</f>
        <v>14892</v>
      </c>
    </row>
    <row r="71" spans="1:12" s="1991" customFormat="1">
      <c r="A71" s="250"/>
      <c r="D71" s="1992"/>
      <c r="J71" s="1991">
        <v>2446</v>
      </c>
      <c r="K71" s="57"/>
      <c r="L71" s="57">
        <v>1600</v>
      </c>
    </row>
    <row r="72" spans="1:12" s="1991" customFormat="1">
      <c r="A72" s="250"/>
      <c r="D72" s="1992"/>
      <c r="K72" s="57"/>
      <c r="L72" s="57">
        <f>L69+L70+L71</f>
        <v>218442.8</v>
      </c>
    </row>
    <row r="73" spans="1:12" s="1991" customFormat="1">
      <c r="A73" s="250"/>
      <c r="D73" s="1992"/>
      <c r="K73" s="57"/>
      <c r="L73" s="57"/>
    </row>
    <row r="74" spans="1:12" s="1991" customFormat="1">
      <c r="A74" s="250"/>
      <c r="D74" s="1992"/>
      <c r="K74" s="57"/>
      <c r="L74" s="57">
        <f>270000*10000/L72</f>
        <v>12360.215122677424</v>
      </c>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393" t="s">
        <v>1663</v>
      </c>
      <c r="B1" s="3394"/>
      <c r="C1" s="3394"/>
      <c r="D1" s="3394"/>
      <c r="E1" s="3394"/>
      <c r="F1" s="3394"/>
      <c r="G1" s="3394"/>
      <c r="H1" s="1995"/>
      <c r="I1" s="1996"/>
      <c r="J1" s="1997"/>
      <c r="K1" s="1995"/>
      <c r="L1" s="1996"/>
      <c r="M1" s="1997"/>
      <c r="N1" s="1995"/>
      <c r="O1" s="1996"/>
      <c r="P1" s="1997"/>
      <c r="Q1" s="1998"/>
      <c r="R1" s="1999"/>
    </row>
    <row r="2" spans="1:18" ht="14.25" thickBot="1">
      <c r="A2" s="1216"/>
      <c r="B2" s="1217"/>
      <c r="C2" s="1218" t="s">
        <v>1664</v>
      </c>
      <c r="D2" s="1219"/>
      <c r="E2" s="1220"/>
      <c r="F2" s="1221"/>
      <c r="G2" s="1218" t="s">
        <v>1665</v>
      </c>
      <c r="H2" s="2001"/>
      <c r="I2" s="2001"/>
      <c r="J2" s="2001"/>
      <c r="K2" s="2001"/>
      <c r="L2" s="2001"/>
      <c r="M2" s="2001"/>
      <c r="N2" s="2001"/>
      <c r="O2" s="2001"/>
      <c r="P2" s="2001"/>
      <c r="Q2" s="2001"/>
      <c r="R2" s="2001"/>
    </row>
    <row r="3" spans="1:18" ht="42.75">
      <c r="A3" s="1222" t="s">
        <v>1666</v>
      </c>
      <c r="B3" s="1223" t="s">
        <v>1653</v>
      </c>
      <c r="C3" s="3226" t="s">
        <v>4102</v>
      </c>
      <c r="D3" s="2002"/>
      <c r="E3" s="1224" t="s">
        <v>1666</v>
      </c>
      <c r="F3" s="1225" t="s">
        <v>1654</v>
      </c>
      <c r="G3" s="3096" t="s">
        <v>2918</v>
      </c>
      <c r="H3" s="2001"/>
      <c r="I3" s="2001"/>
      <c r="J3" s="2001"/>
      <c r="K3" s="2001"/>
      <c r="L3" s="2001"/>
      <c r="M3" s="2001"/>
      <c r="N3" s="2001"/>
      <c r="O3" s="2001"/>
      <c r="P3" s="2001"/>
      <c r="Q3" s="2001"/>
      <c r="R3" s="2001"/>
    </row>
    <row r="4" spans="1:18" ht="40.5">
      <c r="A4" s="1224"/>
      <c r="B4" s="1226" t="s">
        <v>1667</v>
      </c>
      <c r="C4" s="3227" t="s">
        <v>4103</v>
      </c>
      <c r="D4" s="2002"/>
      <c r="E4" s="1227"/>
      <c r="F4" s="1228" t="s">
        <v>1668</v>
      </c>
      <c r="G4" s="3095" t="s">
        <v>2915</v>
      </c>
      <c r="H4" s="2001"/>
      <c r="I4" s="2001"/>
      <c r="J4" s="2001"/>
      <c r="K4" s="2001"/>
      <c r="L4" s="2001"/>
      <c r="M4" s="2001"/>
      <c r="N4" s="2001"/>
      <c r="O4" s="2001"/>
      <c r="P4" s="2001"/>
      <c r="Q4" s="2001"/>
      <c r="R4" s="2001"/>
    </row>
    <row r="5" spans="1:18" ht="27">
      <c r="A5" s="1224"/>
      <c r="B5" s="1226" t="s">
        <v>1669</v>
      </c>
      <c r="C5" s="3227" t="s">
        <v>4104</v>
      </c>
      <c r="D5" s="2002"/>
      <c r="E5" s="1227"/>
      <c r="F5" s="1226" t="s">
        <v>2547</v>
      </c>
      <c r="G5" s="3095" t="s">
        <v>2916</v>
      </c>
      <c r="H5" s="2001"/>
      <c r="I5" s="2001"/>
      <c r="J5" s="2001"/>
      <c r="K5" s="2001"/>
      <c r="L5" s="2001"/>
      <c r="M5" s="2001"/>
      <c r="N5" s="2001"/>
      <c r="O5" s="2001"/>
      <c r="P5" s="2001"/>
      <c r="Q5" s="2001"/>
      <c r="R5" s="2001"/>
    </row>
    <row r="6" spans="1:18" ht="40.5">
      <c r="A6" s="1224"/>
      <c r="B6" s="1226" t="s">
        <v>1655</v>
      </c>
      <c r="C6" s="3228" t="s">
        <v>4105</v>
      </c>
      <c r="D6" s="2002"/>
      <c r="E6" s="1227"/>
      <c r="F6" s="1226" t="s">
        <v>2548</v>
      </c>
      <c r="G6" s="3095" t="s">
        <v>2914</v>
      </c>
      <c r="H6" s="2001"/>
      <c r="I6" s="2001"/>
      <c r="J6" s="2001"/>
      <c r="K6" s="2001"/>
      <c r="L6" s="2001"/>
      <c r="M6" s="2001"/>
      <c r="N6" s="2001"/>
      <c r="O6" s="2001"/>
      <c r="P6" s="2001"/>
      <c r="Q6" s="2001"/>
      <c r="R6" s="2001"/>
    </row>
    <row r="7" spans="1:18" ht="41.25" thickBot="1">
      <c r="A7" s="1224"/>
      <c r="B7" s="1226" t="s">
        <v>2547</v>
      </c>
      <c r="C7" s="3228" t="s">
        <v>4106</v>
      </c>
      <c r="D7" s="2003"/>
      <c r="E7" s="1229"/>
      <c r="F7" s="1230" t="s">
        <v>1670</v>
      </c>
      <c r="G7" s="3097" t="s">
        <v>2917</v>
      </c>
      <c r="H7" s="2001"/>
      <c r="I7" s="2001"/>
      <c r="J7" s="2001"/>
      <c r="K7" s="2001"/>
      <c r="L7" s="2001"/>
      <c r="M7" s="2001"/>
      <c r="N7" s="2001"/>
      <c r="O7" s="2001"/>
      <c r="P7" s="2001"/>
      <c r="Q7" s="2001"/>
      <c r="R7" s="2001"/>
    </row>
    <row r="8" spans="1:18">
      <c r="A8" s="1224"/>
      <c r="B8" s="1226" t="s">
        <v>2548</v>
      </c>
      <c r="C8" s="3228" t="s">
        <v>4108</v>
      </c>
      <c r="D8" s="2003"/>
      <c r="E8" s="2003"/>
      <c r="F8" s="1547"/>
      <c r="G8" s="1547"/>
      <c r="H8" s="2001"/>
      <c r="I8" s="2001"/>
      <c r="J8" s="2001"/>
      <c r="K8" s="2001"/>
      <c r="L8" s="2001"/>
      <c r="M8" s="2001"/>
      <c r="N8" s="2001"/>
      <c r="O8" s="2001"/>
      <c r="P8" s="2001"/>
      <c r="Q8" s="2001"/>
      <c r="R8" s="2001"/>
    </row>
    <row r="9" spans="1:18">
      <c r="A9" s="1224"/>
      <c r="B9" s="1226" t="s">
        <v>1656</v>
      </c>
      <c r="C9" s="3227" t="s">
        <v>4109</v>
      </c>
      <c r="D9" s="2002"/>
      <c r="E9" s="2003"/>
      <c r="F9" s="1547"/>
      <c r="G9" s="1547"/>
      <c r="H9" s="2001"/>
      <c r="I9" s="2001"/>
      <c r="J9" s="2001"/>
      <c r="K9" s="2001"/>
      <c r="L9" s="2001"/>
      <c r="M9" s="2001"/>
      <c r="N9" s="2001"/>
      <c r="O9" s="2001"/>
      <c r="P9" s="2001"/>
      <c r="Q9" s="2001"/>
      <c r="R9" s="2001"/>
    </row>
    <row r="10" spans="1:18" s="2009" customFormat="1" ht="14.25" thickBot="1">
      <c r="A10" s="1231"/>
      <c r="B10" s="1232" t="s">
        <v>1671</v>
      </c>
      <c r="C10" s="3229" t="s">
        <v>4110</v>
      </c>
      <c r="D10" s="2002"/>
      <c r="E10" s="2002"/>
      <c r="F10" s="1547"/>
      <c r="G10" s="1547"/>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3"/>
      <c r="E12" s="2002"/>
      <c r="F12" s="2003"/>
      <c r="G12" s="2005"/>
      <c r="H12" s="2010"/>
      <c r="I12" s="2011"/>
      <c r="J12" s="2010"/>
      <c r="K12" s="2010"/>
      <c r="L12" s="2012"/>
      <c r="M12" s="2010"/>
      <c r="N12" s="2013"/>
      <c r="O12" s="2014"/>
      <c r="P12" s="2015"/>
      <c r="Q12" s="2013"/>
      <c r="R12" s="1999"/>
    </row>
    <row r="13" spans="1:18" ht="19.5" thickBot="1">
      <c r="A13" s="2592" t="s">
        <v>1672</v>
      </c>
      <c r="B13" s="2593"/>
      <c r="C13" s="2593"/>
      <c r="D13" s="1219"/>
      <c r="E13" s="2593"/>
      <c r="F13" s="2593"/>
      <c r="G13" s="2593"/>
    </row>
    <row r="14" spans="1:18" ht="14.25" thickBot="1">
      <c r="A14" s="1233"/>
      <c r="B14" s="1234"/>
      <c r="C14" s="1235" t="s">
        <v>1664</v>
      </c>
      <c r="D14" s="2002"/>
      <c r="E14" s="1236"/>
      <c r="F14" s="1236"/>
      <c r="G14" s="1218" t="s">
        <v>1665</v>
      </c>
    </row>
    <row r="15" spans="1:18" ht="40.5">
      <c r="A15" s="2603" t="s">
        <v>1657</v>
      </c>
      <c r="B15" s="1237" t="s">
        <v>1653</v>
      </c>
      <c r="C15" s="1238" t="str">
        <f>C3</f>
        <v>都旺新城、朝阳里等，分布密度一般，入住率一般，一般</v>
      </c>
      <c r="D15" s="2002"/>
      <c r="E15" s="2600" t="s">
        <v>1658</v>
      </c>
      <c r="F15" s="1237" t="s">
        <v>1673</v>
      </c>
      <c r="G15" s="1239" t="str">
        <f>G3</f>
        <v>估价对象位于XX开发区，园区建设成熟度XX，产业集聚程度XX</v>
      </c>
    </row>
    <row r="16" spans="1:18" ht="40.5">
      <c r="A16" s="2604"/>
      <c r="B16" s="1240" t="s">
        <v>1667</v>
      </c>
      <c r="C16" s="1241" t="str">
        <f>C4</f>
        <v>津辰商贸城，一般</v>
      </c>
      <c r="D16" s="2002"/>
      <c r="E16" s="2601"/>
      <c r="F16" s="1242" t="s">
        <v>1668</v>
      </c>
      <c r="G16" s="1000" t="str">
        <f>G4</f>
        <v>估价对象周边道路状况、公共交通通达情况、停车便捷程度，综合评价交通便捷度较好</v>
      </c>
    </row>
    <row r="17" spans="1:7" ht="14.25">
      <c r="A17" s="2604"/>
      <c r="B17" s="1240" t="s">
        <v>1669</v>
      </c>
      <c r="C17" s="1241" t="str">
        <f>C5</f>
        <v>——</v>
      </c>
      <c r="D17" s="2003"/>
      <c r="E17" s="2601"/>
      <c r="F17" s="1242" t="s">
        <v>1674</v>
      </c>
      <c r="G17" s="2809"/>
    </row>
    <row r="18" spans="1:7" ht="40.5">
      <c r="A18" s="2604"/>
      <c r="B18" s="1242" t="s">
        <v>1655</v>
      </c>
      <c r="C18" s="1000" t="str">
        <f>C6</f>
        <v>750、804、909，路网密度一般，停车便捷程度一般，一般</v>
      </c>
      <c r="D18" s="2003"/>
      <c r="E18" s="2601"/>
      <c r="F18" s="1242" t="s">
        <v>1670</v>
      </c>
      <c r="G18" s="1000" t="str">
        <f>G7</f>
        <v>该园区内是否有污染型企业，绿化情况，卫生条件，整体环境状况判断</v>
      </c>
    </row>
    <row r="19" spans="1:7" ht="27">
      <c r="A19" s="2604"/>
      <c r="B19" s="1242" t="s">
        <v>1659</v>
      </c>
      <c r="C19" s="2809"/>
      <c r="D19" s="2002"/>
      <c r="E19" s="2601"/>
      <c r="F19" s="1226" t="s">
        <v>2547</v>
      </c>
      <c r="G19" s="1000" t="str">
        <f>G5</f>
        <v>估价对象所在区域公共配套设施齐备情况</v>
      </c>
    </row>
    <row r="20" spans="1:7" ht="27">
      <c r="A20" s="2604"/>
      <c r="B20" s="1242" t="s">
        <v>1660</v>
      </c>
      <c r="C20" s="1241" t="str">
        <f>C9</f>
        <v>有公园，无人文，一般</v>
      </c>
      <c r="D20" s="2003"/>
      <c r="E20" s="2601"/>
      <c r="F20" s="1226" t="s">
        <v>2548</v>
      </c>
      <c r="G20" s="1000" t="str">
        <f>G6</f>
        <v>估价对象所在区域基础设施水平</v>
      </c>
    </row>
    <row r="21" spans="1:7" ht="14.25">
      <c r="A21" s="2604"/>
      <c r="B21" s="1226" t="s">
        <v>2547</v>
      </c>
      <c r="C21" s="1000" t="str">
        <f>C7</f>
        <v>较好</v>
      </c>
      <c r="D21" s="2002"/>
      <c r="E21" s="2601"/>
      <c r="F21" s="1242" t="s">
        <v>1661</v>
      </c>
      <c r="G21" s="3098"/>
    </row>
    <row r="22" spans="1:7" ht="14.25">
      <c r="A22" s="2604"/>
      <c r="B22" s="1226" t="s">
        <v>2548</v>
      </c>
      <c r="C22" s="1000" t="str">
        <f>C8</f>
        <v>七通</v>
      </c>
      <c r="D22" s="2002"/>
      <c r="E22" s="2601"/>
      <c r="F22" s="1242" t="s">
        <v>1671</v>
      </c>
      <c r="G22" s="2809"/>
    </row>
    <row r="23" spans="1:7" ht="15" thickBot="1">
      <c r="A23" s="2604"/>
      <c r="B23" s="1242" t="s">
        <v>1661</v>
      </c>
      <c r="C23" s="3098"/>
      <c r="E23" s="2602"/>
      <c r="F23" s="1243" t="s">
        <v>1675</v>
      </c>
      <c r="G23" s="3099"/>
    </row>
    <row r="24" spans="1:7" ht="14.25" thickBot="1">
      <c r="A24" s="2605"/>
      <c r="B24" s="1243" t="s">
        <v>1662</v>
      </c>
      <c r="C24" s="1244" t="str">
        <f>C10</f>
        <v>次</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59" t="s">
        <v>2845</v>
      </c>
      <c r="B1" s="3059">
        <f>SUM(B14:B23)</f>
        <v>165327.35999999996</v>
      </c>
      <c r="C1" s="3060"/>
      <c r="D1" s="3060"/>
      <c r="E1" s="3060"/>
      <c r="F1" s="3060"/>
    </row>
    <row r="2" spans="1:9" ht="16.5">
      <c r="A2" s="3059" t="s">
        <v>2846</v>
      </c>
      <c r="B2" s="3059">
        <f>SUM(C14:C23)</f>
        <v>69493.679999999993</v>
      </c>
      <c r="C2" s="3060"/>
      <c r="D2" s="3060"/>
      <c r="E2" s="3060"/>
      <c r="F2" s="3060"/>
    </row>
    <row r="3" spans="1:9" ht="16.5">
      <c r="A3" s="3059" t="s">
        <v>2847</v>
      </c>
      <c r="B3" s="3061">
        <f>项目基本情况!D3</f>
        <v>43313</v>
      </c>
      <c r="C3" s="3060"/>
      <c r="D3" s="3060"/>
      <c r="E3" s="3060"/>
      <c r="F3" s="3060"/>
    </row>
    <row r="4" spans="1:9" ht="33">
      <c r="A4" s="3059" t="s">
        <v>2848</v>
      </c>
      <c r="B4" s="3059" t="s">
        <v>2849</v>
      </c>
      <c r="C4" s="3059" t="s">
        <v>2850</v>
      </c>
      <c r="D4" s="3059" t="s">
        <v>2851</v>
      </c>
      <c r="E4" s="3060"/>
      <c r="F4" s="3060"/>
    </row>
    <row r="5" spans="1:9" ht="16.5">
      <c r="A5" s="3059" t="s">
        <v>2852</v>
      </c>
      <c r="B5" s="3059">
        <f ca="1">SUM(D14:D23)</f>
        <v>146473</v>
      </c>
      <c r="C5" s="3059">
        <f ca="1">ROUND(B5*10000/$B$1,0)</f>
        <v>8860</v>
      </c>
      <c r="D5" s="3059">
        <f ca="1">ROUND(B5*10000/$B$2,0)</f>
        <v>21077</v>
      </c>
      <c r="E5" s="3060"/>
      <c r="F5" s="3060"/>
    </row>
    <row r="6" spans="1:9" ht="16.5">
      <c r="A6" s="3059" t="s">
        <v>2853</v>
      </c>
      <c r="B6" s="3059">
        <f ca="1">SUM(G14:G23)</f>
        <v>146473</v>
      </c>
      <c r="C6" s="3059">
        <f t="shared" ref="C6:C8" ca="1" si="0">ROUND(B6*10000/$B$1,0)</f>
        <v>8860</v>
      </c>
      <c r="D6" s="3059">
        <f t="shared" ref="D6:D8" ca="1" si="1">ROUND(B6*10000/$B$2,0)</f>
        <v>21077</v>
      </c>
      <c r="E6" s="3060"/>
      <c r="F6" s="3060"/>
    </row>
    <row r="7" spans="1:9" ht="16.5">
      <c r="A7" s="3059" t="s">
        <v>2854</v>
      </c>
      <c r="B7" s="3059">
        <f>SUM(H14:H23)</f>
        <v>0</v>
      </c>
      <c r="C7" s="3059">
        <f t="shared" si="0"/>
        <v>0</v>
      </c>
      <c r="D7" s="3059">
        <f t="shared" si="1"/>
        <v>0</v>
      </c>
      <c r="E7" s="3060"/>
      <c r="F7" s="3060"/>
    </row>
    <row r="8" spans="1:9" ht="16.5">
      <c r="A8" s="3059" t="s">
        <v>2855</v>
      </c>
      <c r="B8" s="3059">
        <f>SUM(I14:I23)</f>
        <v>0</v>
      </c>
      <c r="C8" s="3059">
        <f t="shared" si="0"/>
        <v>0</v>
      </c>
      <c r="D8" s="3059">
        <f t="shared" si="1"/>
        <v>0</v>
      </c>
      <c r="E8" s="3060"/>
      <c r="F8" s="3060"/>
    </row>
    <row r="9" spans="1:9" ht="16.5">
      <c r="A9" s="3059" t="s">
        <v>2856</v>
      </c>
      <c r="B9" s="3062"/>
      <c r="C9" s="3060"/>
      <c r="D9" s="3060"/>
      <c r="E9" s="3060"/>
      <c r="F9" s="3060"/>
    </row>
    <row r="10" spans="1:9" ht="16.5">
      <c r="A10" s="3059" t="s">
        <v>2857</v>
      </c>
      <c r="B10" s="3062"/>
      <c r="C10" s="3060"/>
      <c r="D10" s="3060"/>
      <c r="E10" s="3060"/>
      <c r="F10" s="3060"/>
    </row>
    <row r="11" spans="1:9" ht="16.5">
      <c r="A11" s="3059" t="s">
        <v>2874</v>
      </c>
      <c r="B11" s="3062"/>
      <c r="C11" s="3060"/>
      <c r="D11" s="3060"/>
      <c r="E11" s="3060"/>
      <c r="F11" s="3060"/>
    </row>
    <row r="12" spans="1:9" ht="16.5">
      <c r="A12" s="3060"/>
      <c r="B12" s="3060"/>
      <c r="C12" s="3060"/>
      <c r="D12" s="3060"/>
      <c r="E12" s="3060"/>
      <c r="F12" s="3060"/>
    </row>
    <row r="13" spans="1:9" ht="33">
      <c r="A13" s="3065" t="s">
        <v>2873</v>
      </c>
      <c r="B13" s="3063" t="s">
        <v>2845</v>
      </c>
      <c r="C13" s="3063" t="s">
        <v>2846</v>
      </c>
      <c r="D13" s="3063" t="s">
        <v>2858</v>
      </c>
      <c r="E13" s="3059" t="s">
        <v>2872</v>
      </c>
      <c r="F13" s="3059" t="s">
        <v>2851</v>
      </c>
      <c r="G13" s="3063" t="s">
        <v>2859</v>
      </c>
      <c r="H13" s="3063" t="s">
        <v>2860</v>
      </c>
      <c r="I13" s="3063" t="s">
        <v>2861</v>
      </c>
    </row>
    <row r="14" spans="1:9" ht="16.5">
      <c r="A14" s="3066" t="s">
        <v>2871</v>
      </c>
      <c r="B14" s="3063">
        <f>结果表!L38</f>
        <v>165200.35999999996</v>
      </c>
      <c r="C14" s="3063">
        <f>结果表!K38</f>
        <v>69493.679999999993</v>
      </c>
      <c r="D14" s="3063">
        <f ca="1">结果表!C42</f>
        <v>146461</v>
      </c>
      <c r="E14" s="3063">
        <f ca="1">ROUND(D14*10000/B14,0)</f>
        <v>8866</v>
      </c>
      <c r="F14" s="3063">
        <f ca="1">ROUND(D14*10000/C14,0)</f>
        <v>21075</v>
      </c>
      <c r="G14" s="3063">
        <f ca="1">结果表!C44</f>
        <v>146461</v>
      </c>
      <c r="H14" s="3063" t="str">
        <f>结果表!C45</f>
        <v>——</v>
      </c>
      <c r="I14" s="3063" t="str">
        <f>结果表!C46</f>
        <v>——</v>
      </c>
    </row>
    <row r="15" spans="1:9" ht="16.5">
      <c r="A15" s="3066" t="s">
        <v>2862</v>
      </c>
      <c r="B15" s="3067">
        <f>[1]系统读取表!$B$14</f>
        <v>127</v>
      </c>
      <c r="C15" s="3067" t="s">
        <v>4466</v>
      </c>
      <c r="D15" s="3067">
        <f>ROUND([1]成本法!$C$33,0)</f>
        <v>12</v>
      </c>
      <c r="E15" s="3063">
        <f t="shared" ref="E15:E23" si="2">ROUND(D15*10000/B15,0)</f>
        <v>945</v>
      </c>
      <c r="F15" s="3063" t="e">
        <f t="shared" ref="F15:F23" si="3">ROUND(D15*10000/C15,0)</f>
        <v>#VALUE!</v>
      </c>
      <c r="G15" s="3064">
        <v>12</v>
      </c>
      <c r="H15" s="3064"/>
      <c r="I15" s="3067"/>
    </row>
    <row r="16" spans="1:9" ht="16.5">
      <c r="A16" s="3066" t="s">
        <v>2863</v>
      </c>
      <c r="B16" s="3067"/>
      <c r="C16" s="3067"/>
      <c r="D16" s="3067"/>
      <c r="E16" s="3063" t="e">
        <f t="shared" si="2"/>
        <v>#DIV/0!</v>
      </c>
      <c r="F16" s="3063" t="e">
        <f t="shared" si="3"/>
        <v>#DIV/0!</v>
      </c>
      <c r="G16" s="3064"/>
      <c r="H16" s="3064"/>
      <c r="I16" s="3067"/>
    </row>
    <row r="17" spans="1:9" ht="16.5">
      <c r="A17" s="3066" t="s">
        <v>2864</v>
      </c>
      <c r="B17" s="3067"/>
      <c r="C17" s="3067"/>
      <c r="D17" s="3067"/>
      <c r="E17" s="3063" t="e">
        <f t="shared" si="2"/>
        <v>#DIV/0!</v>
      </c>
      <c r="F17" s="3063" t="e">
        <f t="shared" si="3"/>
        <v>#DIV/0!</v>
      </c>
      <c r="G17" s="3064"/>
      <c r="H17" s="3064"/>
      <c r="I17" s="3067"/>
    </row>
    <row r="18" spans="1:9" ht="16.5">
      <c r="A18" s="3066" t="s">
        <v>2865</v>
      </c>
      <c r="B18" s="3067"/>
      <c r="C18" s="3067"/>
      <c r="D18" s="3067"/>
      <c r="E18" s="3063" t="e">
        <f t="shared" si="2"/>
        <v>#DIV/0!</v>
      </c>
      <c r="F18" s="3063" t="e">
        <f t="shared" si="3"/>
        <v>#DIV/0!</v>
      </c>
      <c r="G18" s="3067"/>
      <c r="H18" s="3067"/>
      <c r="I18" s="3067"/>
    </row>
    <row r="19" spans="1:9" ht="16.5">
      <c r="A19" s="3066" t="s">
        <v>2866</v>
      </c>
      <c r="B19" s="3067"/>
      <c r="C19" s="3067"/>
      <c r="D19" s="3067"/>
      <c r="E19" s="3063" t="e">
        <f t="shared" si="2"/>
        <v>#DIV/0!</v>
      </c>
      <c r="F19" s="3063" t="e">
        <f t="shared" si="3"/>
        <v>#DIV/0!</v>
      </c>
      <c r="G19" s="3067"/>
      <c r="H19" s="3067"/>
      <c r="I19" s="3067"/>
    </row>
    <row r="20" spans="1:9" ht="16.5">
      <c r="A20" s="3066" t="s">
        <v>2867</v>
      </c>
      <c r="B20" s="3067"/>
      <c r="C20" s="3067"/>
      <c r="D20" s="3067"/>
      <c r="E20" s="3063" t="e">
        <f t="shared" si="2"/>
        <v>#DIV/0!</v>
      </c>
      <c r="F20" s="3063" t="e">
        <f t="shared" si="3"/>
        <v>#DIV/0!</v>
      </c>
      <c r="G20" s="3067"/>
      <c r="H20" s="3067"/>
      <c r="I20" s="3067"/>
    </row>
    <row r="21" spans="1:9" ht="16.5">
      <c r="A21" s="3066" t="s">
        <v>2868</v>
      </c>
      <c r="B21" s="3067"/>
      <c r="C21" s="3067"/>
      <c r="D21" s="3067"/>
      <c r="E21" s="3063" t="e">
        <f t="shared" si="2"/>
        <v>#DIV/0!</v>
      </c>
      <c r="F21" s="3063" t="e">
        <f t="shared" si="3"/>
        <v>#DIV/0!</v>
      </c>
      <c r="G21" s="3067"/>
      <c r="H21" s="3067"/>
      <c r="I21" s="3067"/>
    </row>
    <row r="22" spans="1:9" ht="16.5">
      <c r="A22" s="3066" t="s">
        <v>2869</v>
      </c>
      <c r="B22" s="3067"/>
      <c r="C22" s="3067"/>
      <c r="D22" s="3067"/>
      <c r="E22" s="3063" t="e">
        <f t="shared" si="2"/>
        <v>#DIV/0!</v>
      </c>
      <c r="F22" s="3063" t="e">
        <f t="shared" si="3"/>
        <v>#DIV/0!</v>
      </c>
      <c r="G22" s="3067"/>
      <c r="H22" s="3067"/>
      <c r="I22" s="3067"/>
    </row>
    <row r="23" spans="1:9" ht="16.5">
      <c r="A23" s="3066" t="s">
        <v>2870</v>
      </c>
      <c r="B23" s="3067"/>
      <c r="C23" s="3067"/>
      <c r="D23" s="3067"/>
      <c r="E23" s="3059" t="e">
        <f t="shared" si="2"/>
        <v>#DIV/0!</v>
      </c>
      <c r="F23" s="3059" t="e">
        <f t="shared" si="3"/>
        <v>#DIV/0!</v>
      </c>
      <c r="G23" s="3067"/>
      <c r="H23" s="3067"/>
      <c r="I23" s="306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5"/>
  </cols>
  <sheetData>
    <row r="1" spans="1:22" ht="21.75" customHeight="1" thickBot="1">
      <c r="A1" s="1769" t="s">
        <v>2055</v>
      </c>
      <c r="B1" s="1770"/>
      <c r="C1" s="1798" t="s">
        <v>2056</v>
      </c>
      <c r="D1" s="1799" t="s">
        <v>4328</v>
      </c>
      <c r="E1" s="1798" t="s">
        <v>2057</v>
      </c>
      <c r="F1" s="1800" t="s">
        <v>4329</v>
      </c>
      <c r="G1" s="308"/>
      <c r="H1" s="308"/>
      <c r="I1" s="308"/>
      <c r="J1" s="2022"/>
      <c r="K1" s="2022"/>
      <c r="L1" s="2022"/>
      <c r="M1" s="2022"/>
      <c r="N1" s="2022"/>
      <c r="O1" s="2022"/>
      <c r="P1" s="2022"/>
      <c r="Q1" s="2022"/>
      <c r="R1" s="2022"/>
      <c r="S1" s="2022"/>
      <c r="T1" s="2022"/>
      <c r="U1" s="2022"/>
      <c r="V1" s="2022"/>
    </row>
    <row r="2" spans="1:22" ht="21.75" customHeight="1" thickBot="1">
      <c r="A2" s="3440" t="str">
        <f>项目基本情况!K2</f>
        <v>天津市北辰区北辰道与朝阳路交口出让国有建设用地使用权</v>
      </c>
      <c r="B2" s="3441"/>
      <c r="C2" s="3442"/>
      <c r="D2" s="3442"/>
      <c r="E2" s="3442"/>
      <c r="F2" s="3442"/>
      <c r="G2" s="3441"/>
      <c r="H2" s="3441"/>
      <c r="I2" s="3443"/>
      <c r="J2" s="2023"/>
      <c r="K2" s="2022"/>
      <c r="L2" s="2022"/>
      <c r="M2" s="2022"/>
      <c r="N2" s="2022"/>
      <c r="O2" s="2022"/>
      <c r="P2" s="2022"/>
      <c r="Q2" s="2022"/>
      <c r="R2" s="2022"/>
      <c r="S2" s="2022"/>
      <c r="T2" s="2022"/>
      <c r="U2" s="2022"/>
      <c r="V2" s="2022"/>
    </row>
    <row r="3" spans="1:22" ht="14.25">
      <c r="A3" s="3451" t="s">
        <v>298</v>
      </c>
      <c r="B3" s="3452"/>
      <c r="C3" s="3452"/>
      <c r="D3" s="3452"/>
      <c r="E3" s="3452"/>
      <c r="F3" s="3452"/>
      <c r="G3" s="3452"/>
      <c r="H3" s="3452"/>
      <c r="I3" s="3452"/>
      <c r="J3" s="2023"/>
      <c r="K3" s="2022"/>
      <c r="L3" s="2022"/>
      <c r="M3" s="2022"/>
      <c r="N3" s="2022"/>
      <c r="O3" s="2022"/>
      <c r="P3" s="2022"/>
      <c r="Q3" s="2022"/>
      <c r="R3" s="2022"/>
      <c r="S3" s="2022"/>
      <c r="T3" s="2022"/>
      <c r="U3" s="2022"/>
      <c r="V3" s="2022"/>
    </row>
    <row r="4" spans="1:22" ht="14.25">
      <c r="A4" s="255" t="s">
        <v>299</v>
      </c>
      <c r="B4" s="256" t="s">
        <v>300</v>
      </c>
      <c r="C4" s="257" t="s">
        <v>4330</v>
      </c>
      <c r="D4" s="257" t="s">
        <v>4331</v>
      </c>
      <c r="E4" s="3415" t="s">
        <v>301</v>
      </c>
      <c r="F4" s="3457"/>
      <c r="G4" s="3457"/>
      <c r="H4" s="3457"/>
      <c r="I4" s="3416"/>
      <c r="J4" s="2023"/>
      <c r="K4" s="2022"/>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2"/>
      <c r="O4" s="2022"/>
      <c r="P4" s="2022"/>
      <c r="Q4" s="2022"/>
      <c r="R4" s="2022"/>
      <c r="S4" s="2022"/>
      <c r="T4" s="2022"/>
      <c r="U4" s="2022"/>
      <c r="V4" s="2022"/>
    </row>
    <row r="5" spans="1:22" ht="14.25">
      <c r="A5" s="3444" t="s">
        <v>302</v>
      </c>
      <c r="B5" s="3445">
        <v>25</v>
      </c>
      <c r="C5" s="3453"/>
      <c r="D5" s="3456"/>
      <c r="E5" s="258" t="s">
        <v>303</v>
      </c>
      <c r="F5" s="259"/>
      <c r="G5" s="259"/>
      <c r="H5" s="259"/>
      <c r="I5" s="260"/>
      <c r="J5" s="2023"/>
      <c r="K5" s="2022"/>
      <c r="L5" s="2022"/>
      <c r="M5" s="2022"/>
      <c r="N5" s="2022"/>
      <c r="O5" s="2022"/>
      <c r="P5" s="2022"/>
      <c r="Q5" s="2022"/>
      <c r="R5" s="2022"/>
      <c r="S5" s="2022"/>
      <c r="T5" s="2022"/>
      <c r="U5" s="2022"/>
      <c r="V5" s="2022"/>
    </row>
    <row r="6" spans="1:22" ht="14.25">
      <c r="A6" s="3444"/>
      <c r="B6" s="3445"/>
      <c r="C6" s="3454"/>
      <c r="D6" s="3456"/>
      <c r="E6" s="258" t="s">
        <v>304</v>
      </c>
      <c r="F6" s="259"/>
      <c r="G6" s="259"/>
      <c r="H6" s="259"/>
      <c r="I6" s="260"/>
      <c r="J6" s="2023"/>
      <c r="K6" s="2022"/>
      <c r="L6" s="2022"/>
      <c r="M6" s="2022"/>
      <c r="N6" s="2022"/>
      <c r="O6" s="2022"/>
      <c r="P6" s="2022"/>
      <c r="Q6" s="2022"/>
      <c r="R6" s="2022"/>
      <c r="S6" s="2022"/>
      <c r="T6" s="2022"/>
      <c r="U6" s="2022"/>
      <c r="V6" s="2022"/>
    </row>
    <row r="7" spans="1:22" ht="14.25">
      <c r="A7" s="3444"/>
      <c r="B7" s="3445"/>
      <c r="C7" s="3455"/>
      <c r="D7" s="3456"/>
      <c r="E7" s="258" t="s">
        <v>305</v>
      </c>
      <c r="F7" s="259"/>
      <c r="G7" s="259"/>
      <c r="H7" s="259"/>
      <c r="I7" s="260"/>
      <c r="J7" s="2023"/>
      <c r="K7" s="2022"/>
      <c r="L7" s="2022"/>
      <c r="M7" s="2022"/>
      <c r="N7" s="2022"/>
      <c r="O7" s="2022"/>
      <c r="P7" s="2022"/>
      <c r="Q7" s="2022"/>
      <c r="R7" s="2022"/>
      <c r="S7" s="2022"/>
      <c r="T7" s="2022"/>
      <c r="U7" s="2022"/>
      <c r="V7" s="2022"/>
    </row>
    <row r="8" spans="1:22" ht="14.25">
      <c r="A8" s="3444" t="s">
        <v>306</v>
      </c>
      <c r="B8" s="3445">
        <v>15</v>
      </c>
      <c r="C8" s="3453"/>
      <c r="D8" s="3456"/>
      <c r="E8" s="258" t="s">
        <v>307</v>
      </c>
      <c r="F8" s="259"/>
      <c r="G8" s="259"/>
      <c r="H8" s="259"/>
      <c r="I8" s="260"/>
      <c r="J8" s="2023"/>
      <c r="K8" s="2022"/>
      <c r="L8" s="2022"/>
      <c r="M8" s="2022"/>
      <c r="N8" s="2022"/>
      <c r="O8" s="2022"/>
      <c r="P8" s="2022"/>
      <c r="Q8" s="2022"/>
      <c r="R8" s="2022"/>
      <c r="S8" s="2022"/>
      <c r="T8" s="2022"/>
      <c r="U8" s="2022"/>
      <c r="V8" s="2022"/>
    </row>
    <row r="9" spans="1:22" ht="14.25">
      <c r="A9" s="3444"/>
      <c r="B9" s="3445"/>
      <c r="C9" s="3455"/>
      <c r="D9" s="3456"/>
      <c r="E9" s="258" t="s">
        <v>308</v>
      </c>
      <c r="F9" s="259"/>
      <c r="G9" s="259"/>
      <c r="H9" s="259"/>
      <c r="I9" s="260"/>
      <c r="J9" s="2023"/>
      <c r="K9" s="2022"/>
      <c r="L9" s="2022"/>
      <c r="M9" s="2022"/>
      <c r="N9" s="2022"/>
      <c r="O9" s="2022"/>
      <c r="P9" s="2022"/>
      <c r="Q9" s="2022"/>
      <c r="R9" s="2022"/>
      <c r="S9" s="2022"/>
      <c r="T9" s="2022"/>
      <c r="U9" s="2022"/>
      <c r="V9" s="2022"/>
    </row>
    <row r="10" spans="1:22" ht="14.25">
      <c r="A10" s="3444" t="s">
        <v>309</v>
      </c>
      <c r="B10" s="3445">
        <v>15</v>
      </c>
      <c r="C10" s="3453"/>
      <c r="D10" s="3456"/>
      <c r="E10" s="258" t="s">
        <v>310</v>
      </c>
      <c r="F10" s="259"/>
      <c r="G10" s="259"/>
      <c r="H10" s="259"/>
      <c r="I10" s="260"/>
      <c r="J10" s="2023"/>
      <c r="K10" s="2022"/>
      <c r="L10" s="2022"/>
      <c r="M10" s="2022"/>
      <c r="N10" s="2022"/>
      <c r="O10" s="2022"/>
      <c r="P10" s="2022"/>
      <c r="Q10" s="2022"/>
      <c r="R10" s="2022"/>
      <c r="S10" s="2022"/>
      <c r="T10" s="2022"/>
      <c r="U10" s="2022"/>
      <c r="V10" s="2022"/>
    </row>
    <row r="11" spans="1:22" ht="14.25">
      <c r="A11" s="3444"/>
      <c r="B11" s="3445"/>
      <c r="C11" s="3455"/>
      <c r="D11" s="3456"/>
      <c r="E11" s="258" t="s">
        <v>311</v>
      </c>
      <c r="F11" s="259"/>
      <c r="G11" s="259"/>
      <c r="H11" s="259"/>
      <c r="I11" s="260"/>
      <c r="J11" s="2023"/>
      <c r="K11" s="2022"/>
      <c r="L11" s="2022"/>
      <c r="M11" s="2022"/>
      <c r="N11" s="2022"/>
      <c r="O11" s="2022"/>
      <c r="P11" s="2022"/>
      <c r="Q11" s="2022"/>
      <c r="R11" s="2022"/>
      <c r="S11" s="2022"/>
      <c r="T11" s="2022"/>
      <c r="U11" s="2022"/>
      <c r="V11" s="2022"/>
    </row>
    <row r="12" spans="1:22" ht="14.25">
      <c r="A12" s="3444" t="s">
        <v>312</v>
      </c>
      <c r="B12" s="3445">
        <v>15</v>
      </c>
      <c r="C12" s="3453"/>
      <c r="D12" s="3456"/>
      <c r="E12" s="258" t="s">
        <v>313</v>
      </c>
      <c r="F12" s="259"/>
      <c r="G12" s="259"/>
      <c r="H12" s="259"/>
      <c r="I12" s="260"/>
      <c r="J12" s="2023"/>
      <c r="K12" s="2022"/>
      <c r="L12" s="2022"/>
      <c r="M12" s="2022"/>
      <c r="N12" s="2022"/>
      <c r="O12" s="2022"/>
      <c r="P12" s="2022"/>
      <c r="Q12" s="2022"/>
      <c r="R12" s="2022"/>
      <c r="S12" s="2022"/>
      <c r="T12" s="2022"/>
      <c r="U12" s="2022"/>
      <c r="V12" s="2022"/>
    </row>
    <row r="13" spans="1:22" ht="14.25">
      <c r="A13" s="3444"/>
      <c r="B13" s="3445"/>
      <c r="C13" s="3455"/>
      <c r="D13" s="3456"/>
      <c r="E13" s="258" t="s">
        <v>314</v>
      </c>
      <c r="F13" s="259"/>
      <c r="G13" s="259"/>
      <c r="H13" s="259"/>
      <c r="I13" s="260"/>
      <c r="J13" s="2023"/>
      <c r="K13" s="2022"/>
      <c r="L13" s="2022"/>
      <c r="M13" s="2022"/>
      <c r="N13" s="2022"/>
      <c r="O13" s="2022"/>
      <c r="P13" s="2022"/>
      <c r="Q13" s="2022"/>
      <c r="R13" s="2022"/>
      <c r="S13" s="2022"/>
      <c r="T13" s="2022"/>
      <c r="U13" s="2022"/>
      <c r="V13" s="2022"/>
    </row>
    <row r="14" spans="1:22" ht="14.25">
      <c r="A14" s="3444" t="s">
        <v>315</v>
      </c>
      <c r="B14" s="3445">
        <v>30</v>
      </c>
      <c r="C14" s="3453">
        <v>6</v>
      </c>
      <c r="D14" s="3456">
        <v>4</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444"/>
      <c r="B15" s="3445"/>
      <c r="C15" s="3454"/>
      <c r="D15" s="3456"/>
      <c r="E15" s="258" t="s">
        <v>317</v>
      </c>
      <c r="F15" s="259"/>
      <c r="G15" s="259"/>
      <c r="H15" s="259"/>
      <c r="I15" s="260"/>
      <c r="J15" s="2023"/>
      <c r="K15" s="2022"/>
      <c r="L15" s="2022"/>
      <c r="M15" s="2022"/>
      <c r="N15" s="2022"/>
      <c r="O15" s="2022"/>
      <c r="P15" s="2022"/>
      <c r="Q15" s="2022"/>
      <c r="R15" s="2022"/>
      <c r="S15" s="2022"/>
      <c r="T15" s="2022"/>
      <c r="U15" s="2022"/>
      <c r="V15" s="2022"/>
    </row>
    <row r="16" spans="1:22" ht="14.25">
      <c r="A16" s="3444"/>
      <c r="B16" s="3445"/>
      <c r="C16" s="3455"/>
      <c r="D16" s="3456"/>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3"/>
      <c r="C17" s="262">
        <f>SUM(C5:C16)</f>
        <v>6</v>
      </c>
      <c r="D17" s="262">
        <f>SUM(D5:D16)</f>
        <v>4</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0.6</v>
      </c>
      <c r="D18" s="264">
        <f>1-C18</f>
        <v>0.4</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152497</v>
      </c>
      <c r="D19" s="268">
        <f ca="1">SUMIF(INDIRECT("'"&amp;D4&amp;"'"&amp;"!A:A"),结果表!B19,INDIRECT("'"&amp;D4&amp;"'"&amp;"!B:B"))</f>
        <v>137407</v>
      </c>
      <c r="E19" s="265" t="s">
        <v>323</v>
      </c>
      <c r="F19" s="266" t="s">
        <v>322</v>
      </c>
      <c r="G19" s="269">
        <f ca="1">ROUND(C19*$C$18+D19*$D$18,0)</f>
        <v>146461</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9231</v>
      </c>
      <c r="D20" s="274">
        <f ca="1">SUMIF(INDIRECT("'"&amp;D4&amp;"'"&amp;"!A:A"),结果表!B20,INDIRECT("'"&amp;D4&amp;"'"&amp;"!B:B"))</f>
        <v>8318</v>
      </c>
      <c r="E20" s="271"/>
      <c r="F20" s="272" t="s">
        <v>325</v>
      </c>
      <c r="G20" s="275">
        <f ca="1">ROUND(C20*$C$18+D20*$D$18,0)</f>
        <v>8866</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21944</v>
      </c>
      <c r="D21" s="150">
        <f ca="1">SUMIF(INDIRECT("'"&amp;D4&amp;"'"&amp;"!A:A"),结果表!B21,INDIRECT("'"&amp;D4&amp;"'"&amp;"!B:B"))</f>
        <v>19773</v>
      </c>
      <c r="E21" s="271"/>
      <c r="F21" s="277" t="s">
        <v>327</v>
      </c>
      <c r="G21" s="279">
        <f ca="1">ROUND(C21*$C$18+D21*$D$18,0)</f>
        <v>21076</v>
      </c>
      <c r="H21" s="1246" t="s">
        <v>326</v>
      </c>
      <c r="I21" s="308"/>
      <c r="J21" s="2022"/>
      <c r="K21" s="2022"/>
      <c r="L21" s="2022"/>
      <c r="M21" s="2022"/>
      <c r="N21" s="2022"/>
      <c r="O21" s="2022"/>
      <c r="P21" s="2022"/>
      <c r="Q21" s="2022"/>
      <c r="R21" s="2022"/>
      <c r="S21" s="2022"/>
      <c r="T21" s="2022"/>
      <c r="U21" s="2022"/>
      <c r="V21" s="2022"/>
    </row>
    <row r="22" spans="1:26" ht="15.75" thickBot="1">
      <c r="A22" s="125" t="s">
        <v>328</v>
      </c>
      <c r="B22" s="1247"/>
      <c r="C22" s="1248"/>
      <c r="D22" s="280">
        <f ca="1">IF(C19&lt;D19,D19/C19-1,C19/D19-1)</f>
        <v>0.10981973261915323</v>
      </c>
      <c r="E22" s="281"/>
      <c r="F22" s="282"/>
      <c r="G22" s="283">
        <f ca="1">ROUND(G19/('数据-汇总表'!D3/666.67),0)</f>
        <v>1405</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417"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459"/>
      <c r="B25" s="1316" t="s">
        <v>331</v>
      </c>
      <c r="C25" s="287">
        <f>IF(B30=0,0,C30)</f>
        <v>0</v>
      </c>
      <c r="D25" s="288"/>
      <c r="E25" s="308"/>
      <c r="F25" s="308"/>
      <c r="G25" s="308"/>
      <c r="H25" s="308"/>
      <c r="I25" s="308"/>
      <c r="J25" s="2022"/>
      <c r="K25" s="1250" t="str">
        <f ca="1">项目基本情况!B16&amp;"国有建设用地使用权价格："&amp;O38&amp;"万元"</f>
        <v>出让国有建设用地使用权价格：146461万元</v>
      </c>
      <c r="L25" s="1251"/>
      <c r="M25" s="1251"/>
      <c r="N25" s="1251"/>
      <c r="O25" s="1252"/>
      <c r="P25" s="2022"/>
      <c r="Q25" s="2022"/>
      <c r="R25" s="2022"/>
      <c r="S25" s="2022"/>
      <c r="T25" s="2022"/>
      <c r="U25" s="2022"/>
      <c r="V25" s="2022"/>
    </row>
    <row r="26" spans="1:26" s="1249" customFormat="1" ht="18">
      <c r="A26" s="290" t="s">
        <v>332</v>
      </c>
      <c r="B26" s="291" t="s">
        <v>333</v>
      </c>
      <c r="C26" s="291" t="s">
        <v>334</v>
      </c>
      <c r="D26" s="292" t="s">
        <v>335</v>
      </c>
      <c r="E26" s="308"/>
      <c r="F26" s="308"/>
      <c r="G26" s="308"/>
      <c r="H26" s="308"/>
      <c r="I26" s="308"/>
      <c r="J26" s="2022"/>
      <c r="K26" s="1253" t="str">
        <f ca="1">"大写金额：人民币"&amp;NUMBERSTRING(INT(O38*10000),2)&amp;"元整"</f>
        <v>大写金额：人民币壹拾肆亿陆仟肆佰陆拾壹万元整</v>
      </c>
      <c r="L26" s="1247"/>
      <c r="M26" s="1247"/>
      <c r="N26" s="1247"/>
      <c r="O26" s="1246"/>
      <c r="P26" s="2022"/>
      <c r="Q26" s="2022"/>
      <c r="R26" s="2022"/>
      <c r="S26" s="2022"/>
      <c r="T26" s="2022"/>
      <c r="U26" s="2022"/>
      <c r="V26" s="2022"/>
      <c r="W26" s="289"/>
      <c r="X26" s="289"/>
      <c r="Y26" s="289"/>
      <c r="Z26" s="289"/>
    </row>
    <row r="27" spans="1:26" ht="18">
      <c r="A27" s="290"/>
      <c r="B27" s="291"/>
      <c r="C27" s="291"/>
      <c r="D27" s="292"/>
      <c r="E27" s="308"/>
      <c r="F27" s="308"/>
      <c r="G27" s="308"/>
      <c r="H27" s="308"/>
      <c r="I27" s="308"/>
      <c r="J27" s="2022"/>
      <c r="K27" s="1253" t="str">
        <f ca="1">"单位面积地价："&amp;M38&amp;"元/平方米"</f>
        <v>单位面积地价：21075元/平方米</v>
      </c>
      <c r="L27" s="1247"/>
      <c r="M27" s="1247"/>
      <c r="N27" s="1247"/>
      <c r="O27" s="1246"/>
      <c r="P27" s="2022"/>
      <c r="Q27" s="2022"/>
      <c r="R27" s="2022"/>
      <c r="S27" s="2022"/>
      <c r="T27" s="2022"/>
      <c r="U27" s="2022"/>
      <c r="V27" s="2022"/>
    </row>
    <row r="28" spans="1:26" ht="18.75" customHeight="1">
      <c r="A28" s="290"/>
      <c r="B28" s="291">
        <f ca="1">C19*10000/'数据-汇总表'!F31</f>
        <v>16292.35186702274</v>
      </c>
      <c r="C28" s="291"/>
      <c r="D28" s="292">
        <f ca="1">G19*10000/'数据-汇总表'!F31</f>
        <v>15647.482552417541</v>
      </c>
      <c r="E28" s="308"/>
      <c r="F28" s="308"/>
      <c r="G28" s="308"/>
      <c r="H28" s="308"/>
      <c r="I28" s="308"/>
      <c r="J28" s="2022"/>
      <c r="K28" s="1253" t="str">
        <f ca="1">"楼面地价："&amp;N38&amp;"元/平方米"</f>
        <v>楼面地价：8866元/平方米</v>
      </c>
      <c r="L28" s="1247"/>
      <c r="M28" s="1247"/>
      <c r="N28" s="1247"/>
      <c r="O28" s="1246"/>
      <c r="P28" s="2022"/>
      <c r="V28" s="2022"/>
    </row>
    <row r="29" spans="1:26" ht="18">
      <c r="A29" s="290"/>
      <c r="B29" s="291">
        <f ca="1">D19*10000/'数据-汇总表'!F31</f>
        <v>14680.178580509741</v>
      </c>
      <c r="C29" s="291"/>
      <c r="D29" s="292"/>
      <c r="E29" s="308"/>
      <c r="F29" s="308"/>
      <c r="G29" s="308"/>
      <c r="H29" s="308"/>
      <c r="I29" s="308"/>
      <c r="J29" s="2022"/>
      <c r="K29" s="1253" t="str">
        <f ca="1">IF(OR(项目基本情况!E8="抵押价格",项目基本情况!E8="已注销及未注销"),"抵押价格："&amp;O39&amp;"万元","——")</f>
        <v>抵押价格：146461万元</v>
      </c>
      <c r="L29" s="1247"/>
      <c r="M29" s="1247"/>
      <c r="N29" s="1247"/>
      <c r="O29" s="1246"/>
      <c r="P29" s="2022"/>
      <c r="V29" s="2022"/>
    </row>
    <row r="30" spans="1:26" ht="18.75" thickBot="1">
      <c r="A30" s="3147" t="s">
        <v>336</v>
      </c>
      <c r="B30" s="306"/>
      <c r="C30" s="306"/>
      <c r="D30" s="307"/>
      <c r="E30" s="3148" t="s">
        <v>2965</v>
      </c>
      <c r="F30" s="308"/>
      <c r="G30" s="308"/>
      <c r="H30" s="308"/>
      <c r="I30" s="308"/>
      <c r="J30" s="2022"/>
      <c r="K30" s="1253" t="str">
        <f ca="1">IF(K29="——","——","大写金额：人民币"&amp;NUMBERSTRING(INT(O39*10000),2)&amp;"元整")</f>
        <v>大写金额：人民币壹拾肆亿陆仟肆佰陆拾壹万元整</v>
      </c>
      <c r="L30" s="1247"/>
      <c r="M30" s="1247"/>
      <c r="N30" s="1247"/>
      <c r="O30" s="1246"/>
      <c r="P30" s="2022"/>
      <c r="V30" s="2022"/>
    </row>
    <row r="31" spans="1:26" ht="24" customHeight="1" thickBot="1">
      <c r="A31" s="308"/>
      <c r="B31" s="308"/>
      <c r="C31" s="308"/>
      <c r="D31" s="308"/>
      <c r="E31" s="308"/>
      <c r="F31" s="308"/>
      <c r="G31" s="308"/>
      <c r="H31" s="308"/>
      <c r="I31" s="308"/>
      <c r="J31" s="2022"/>
      <c r="K31" s="2484" t="str">
        <f>IF(项目基本情况!E8="抵押价格","——","抵押担保权已注销时的抵押价格："&amp;O40&amp;"万元")</f>
        <v>——</v>
      </c>
      <c r="L31" s="2480"/>
      <c r="M31" s="2480"/>
      <c r="N31" s="2480"/>
      <c r="O31" s="2481"/>
      <c r="P31" s="2022"/>
      <c r="V31" s="2022"/>
    </row>
    <row r="32" spans="1:26" ht="18.75" thickBot="1">
      <c r="A32" s="265" t="s">
        <v>337</v>
      </c>
      <c r="B32" s="1375" t="s">
        <v>1688</v>
      </c>
      <c r="C32" s="1376">
        <f ca="1">G19-C24</f>
        <v>146461</v>
      </c>
      <c r="D32" s="1377" t="s">
        <v>1689</v>
      </c>
      <c r="E32" s="308"/>
      <c r="F32" s="308"/>
      <c r="G32" s="308"/>
      <c r="H32" s="308"/>
      <c r="I32" s="308"/>
      <c r="J32" s="2022"/>
      <c r="K32" s="2479" t="str">
        <f>IF(K31="——","——","大写金额：人民币"&amp;NUMBERSTRING(INT(O40*10000),2)&amp;"元整")</f>
        <v>——</v>
      </c>
      <c r="L32" s="2482"/>
      <c r="M32" s="2482"/>
      <c r="N32" s="2482"/>
      <c r="O32" s="2483"/>
      <c r="P32" s="2022"/>
      <c r="V32" s="2022"/>
    </row>
    <row r="33" spans="1:26" ht="18.75" thickBot="1">
      <c r="A33" s="295" t="s">
        <v>340</v>
      </c>
      <c r="B33" s="1378" t="s">
        <v>1690</v>
      </c>
      <c r="C33" s="261">
        <f ca="1">ROUND(C32*10000/'数据-汇总表'!E3,0)</f>
        <v>8866</v>
      </c>
      <c r="D33" s="1379" t="s">
        <v>1691</v>
      </c>
      <c r="E33" s="3417" t="s">
        <v>338</v>
      </c>
      <c r="F33" s="293" t="s">
        <v>339</v>
      </c>
      <c r="G33" s="294"/>
      <c r="H33" s="975"/>
      <c r="I33" s="1254"/>
      <c r="J33" s="2022"/>
      <c r="K33" s="1253" t="str">
        <f>IF(项目基本情况!E9="——","——","抵押净值："&amp;C46&amp;"万元")</f>
        <v>——</v>
      </c>
      <c r="L33" s="1247"/>
      <c r="M33" s="1247"/>
      <c r="N33" s="1247"/>
      <c r="O33" s="1246"/>
      <c r="P33" s="2022"/>
      <c r="V33" s="2022"/>
    </row>
    <row r="34" spans="1:26" s="1249" customFormat="1" ht="18.75" thickBot="1">
      <c r="A34" s="297"/>
      <c r="B34" s="1380" t="s">
        <v>1692</v>
      </c>
      <c r="C34" s="261">
        <f ca="1">ROUND(C32*10000/'数据-汇总表'!D3,0)</f>
        <v>21075</v>
      </c>
      <c r="D34" s="1381" t="s">
        <v>1691</v>
      </c>
      <c r="E34" s="3418"/>
      <c r="F34" s="126" t="s">
        <v>341</v>
      </c>
      <c r="G34" s="296"/>
      <c r="H34" s="105"/>
      <c r="I34" s="308"/>
      <c r="J34" s="2022"/>
      <c r="K34" s="1256" t="str">
        <f>IF(K33="——","——","大写金额：人民币"&amp;NUMBERSTRING(INT(O41*10000),2)&amp;"元整")</f>
        <v>——</v>
      </c>
      <c r="L34" s="1257"/>
      <c r="M34" s="1257"/>
      <c r="N34" s="1257"/>
      <c r="O34" s="1258"/>
      <c r="P34" s="2022"/>
      <c r="Q34" s="289"/>
      <c r="R34" s="289"/>
      <c r="S34" s="289"/>
      <c r="T34" s="289"/>
      <c r="U34" s="289"/>
      <c r="V34" s="2022"/>
      <c r="W34" s="289"/>
      <c r="X34" s="289"/>
      <c r="Y34" s="289"/>
      <c r="Z34" s="289"/>
    </row>
    <row r="35" spans="1:26" ht="15.75" thickBot="1">
      <c r="A35" s="281"/>
      <c r="B35" s="1382"/>
      <c r="C35" s="1383">
        <f ca="1">ROUND(C32/('数据-汇总表'!D3/666.67),0)</f>
        <v>1405</v>
      </c>
      <c r="D35" s="1384" t="s">
        <v>1693</v>
      </c>
      <c r="E35" s="3419"/>
      <c r="F35" s="298" t="s">
        <v>342</v>
      </c>
      <c r="G35" s="977"/>
      <c r="H35" s="976" t="s">
        <v>343</v>
      </c>
      <c r="I35" s="308"/>
      <c r="J35" s="2022"/>
      <c r="K35" s="3423" t="s">
        <v>350</v>
      </c>
      <c r="L35" s="3423" t="s">
        <v>351</v>
      </c>
      <c r="M35" s="1259" t="s">
        <v>352</v>
      </c>
      <c r="N35" s="3423" t="s">
        <v>353</v>
      </c>
      <c r="O35" s="3423" t="s">
        <v>354</v>
      </c>
      <c r="P35" s="2022"/>
      <c r="V35" s="2022"/>
    </row>
    <row r="36" spans="1:26" ht="16.5" customHeight="1">
      <c r="A36" s="300" t="s">
        <v>344</v>
      </c>
      <c r="B36" s="301" t="s">
        <v>333</v>
      </c>
      <c r="C36" s="302" t="s">
        <v>345</v>
      </c>
      <c r="D36" s="302" t="s">
        <v>346</v>
      </c>
      <c r="E36" s="303" t="s">
        <v>347</v>
      </c>
      <c r="F36" s="308"/>
      <c r="G36" s="308"/>
      <c r="H36" s="308"/>
      <c r="I36" s="308"/>
      <c r="J36" s="2024"/>
      <c r="K36" s="3424"/>
      <c r="L36" s="3424"/>
      <c r="M36" s="1261" t="s">
        <v>355</v>
      </c>
      <c r="N36" s="3424"/>
      <c r="O36" s="3424"/>
      <c r="P36" s="2022"/>
      <c r="V36" s="2022"/>
    </row>
    <row r="37" spans="1:26" ht="16.5" customHeight="1" thickBot="1">
      <c r="A37" s="1255" t="s">
        <v>348</v>
      </c>
      <c r="B37" s="304"/>
      <c r="C37" s="291"/>
      <c r="D37" s="291"/>
      <c r="E37" s="292"/>
      <c r="F37" s="308"/>
      <c r="G37" s="308"/>
      <c r="H37" s="308"/>
      <c r="I37" s="308"/>
      <c r="J37" s="2024"/>
      <c r="K37" s="3425"/>
      <c r="L37" s="3425"/>
      <c r="M37" s="1262"/>
      <c r="N37" s="3425"/>
      <c r="O37" s="3425"/>
      <c r="P37" s="2022"/>
      <c r="V37" s="2022"/>
    </row>
    <row r="38" spans="1:26" ht="16.5" customHeight="1" thickBot="1">
      <c r="A38" s="1255" t="s">
        <v>349</v>
      </c>
      <c r="B38" s="304"/>
      <c r="C38" s="291"/>
      <c r="D38" s="291"/>
      <c r="E38" s="292"/>
      <c r="F38" s="308"/>
      <c r="G38" s="308"/>
      <c r="H38" s="308"/>
      <c r="I38" s="308"/>
      <c r="J38" s="2024"/>
      <c r="K38" s="1263">
        <f>'数据-汇总表'!D3</f>
        <v>69493.679999999993</v>
      </c>
      <c r="L38" s="1264">
        <f>'数据-汇总表'!E3</f>
        <v>165200.35999999996</v>
      </c>
      <c r="M38" s="1264">
        <f ca="1">C34</f>
        <v>21075</v>
      </c>
      <c r="N38" s="1264">
        <f ca="1">C33</f>
        <v>8866</v>
      </c>
      <c r="O38" s="1265">
        <f ca="1">C32</f>
        <v>146461</v>
      </c>
      <c r="P38" s="2022"/>
      <c r="V38" s="2022"/>
    </row>
    <row r="39" spans="1:26" ht="16.5" customHeight="1" thickBot="1">
      <c r="A39" s="1260"/>
      <c r="B39" s="305"/>
      <c r="C39" s="306"/>
      <c r="D39" s="306"/>
      <c r="E39" s="307"/>
      <c r="F39" s="308"/>
      <c r="G39" s="308"/>
      <c r="H39" s="308"/>
      <c r="I39" s="308"/>
      <c r="J39" s="2024"/>
      <c r="K39" s="3400" t="str">
        <f>MID(A44,3,LEN(A44)-2)</f>
        <v>抵押价格</v>
      </c>
      <c r="L39" s="3401"/>
      <c r="M39" s="3401"/>
      <c r="N39" s="3402"/>
      <c r="O39" s="1386">
        <f ca="1">C44</f>
        <v>146461</v>
      </c>
      <c r="P39" s="2022"/>
      <c r="V39" s="2022"/>
    </row>
    <row r="40" spans="1:26" ht="19.5" thickBot="1">
      <c r="A40" s="104" t="s">
        <v>872</v>
      </c>
      <c r="B40" s="308"/>
      <c r="C40" s="308"/>
      <c r="D40" s="308"/>
      <c r="E40" s="308"/>
      <c r="F40" s="308"/>
      <c r="G40" s="308"/>
      <c r="H40" s="308"/>
      <c r="I40" s="308"/>
      <c r="J40" s="2024"/>
      <c r="K40" s="3400" t="str">
        <f t="shared" ref="K40:K41" si="0">MID(A45,3,LEN(A45)-2)</f>
        <v/>
      </c>
      <c r="L40" s="3401"/>
      <c r="M40" s="3401"/>
      <c r="N40" s="3402"/>
      <c r="O40" s="1386" t="str">
        <f>C45</f>
        <v>——</v>
      </c>
      <c r="P40" s="2022"/>
      <c r="V40" s="2022"/>
    </row>
    <row r="41" spans="1:26" ht="16.5" thickBot="1">
      <c r="A41" s="309" t="s">
        <v>356</v>
      </c>
      <c r="B41" s="310"/>
      <c r="C41" s="311" t="s">
        <v>357</v>
      </c>
      <c r="D41" s="312" t="s">
        <v>358</v>
      </c>
      <c r="E41" s="312" t="s">
        <v>359</v>
      </c>
      <c r="F41" s="313" t="s">
        <v>360</v>
      </c>
      <c r="G41" s="308"/>
      <c r="H41" s="308"/>
      <c r="I41" s="308"/>
      <c r="J41" s="2024"/>
      <c r="K41" s="3400" t="str">
        <f t="shared" si="0"/>
        <v/>
      </c>
      <c r="L41" s="3401"/>
      <c r="M41" s="3401"/>
      <c r="N41" s="3402"/>
      <c r="O41" s="1386" t="str">
        <f>C46</f>
        <v>——</v>
      </c>
      <c r="P41" s="2022"/>
      <c r="V41" s="2022"/>
    </row>
    <row r="42" spans="1:26" ht="29.25">
      <c r="A42" s="3460" t="s">
        <v>2067</v>
      </c>
      <c r="B42" s="3461"/>
      <c r="C42" s="261">
        <f ca="1">C32</f>
        <v>146461</v>
      </c>
      <c r="D42" s="314">
        <f ca="1">C33</f>
        <v>8866</v>
      </c>
      <c r="E42" s="314">
        <f ca="1">C34</f>
        <v>21075</v>
      </c>
      <c r="F42" s="315">
        <f ca="1">C35</f>
        <v>1405</v>
      </c>
      <c r="G42" s="308"/>
      <c r="H42" s="308"/>
      <c r="I42" s="316"/>
      <c r="J42" s="2024"/>
      <c r="K42" s="1266" t="s">
        <v>361</v>
      </c>
      <c r="L42" s="2041" t="s">
        <v>362</v>
      </c>
      <c r="M42" s="1267" t="s">
        <v>363</v>
      </c>
      <c r="N42" s="2042" t="s">
        <v>364</v>
      </c>
      <c r="O42" s="2043" t="s">
        <v>365</v>
      </c>
      <c r="P42" s="2022"/>
      <c r="V42" s="2022"/>
    </row>
    <row r="43" spans="1:26" ht="30">
      <c r="A43" s="3470" t="s">
        <v>2731</v>
      </c>
      <c r="B43" s="3471"/>
      <c r="C43" s="261">
        <f>IF(H33="正常操作",G33+G34+G35,G34+G35)</f>
        <v>0</v>
      </c>
      <c r="D43" s="314" t="s">
        <v>43</v>
      </c>
      <c r="E43" s="314" t="s">
        <v>44</v>
      </c>
      <c r="F43" s="315" t="s">
        <v>44</v>
      </c>
      <c r="G43" s="2882" t="s">
        <v>951</v>
      </c>
      <c r="H43" s="308"/>
      <c r="I43" s="316"/>
      <c r="J43" s="2024"/>
      <c r="K43" s="1268" t="str">
        <f>C4</f>
        <v>剩余法-待开发</v>
      </c>
      <c r="L43" s="1269">
        <f ca="1">IF(L42="估价结果/万元",C19,C20)</f>
        <v>152497</v>
      </c>
      <c r="M43" s="1270">
        <f>C18</f>
        <v>0.6</v>
      </c>
      <c r="N43" s="1271">
        <f ca="1">IF(N42="测算结果/万元",G19,G20)</f>
        <v>146461</v>
      </c>
      <c r="O43" s="1272">
        <f ca="1">IF(O42="最终结果/万元",C32,C33)</f>
        <v>146461</v>
      </c>
      <c r="P43" s="2022"/>
      <c r="V43" s="2022"/>
    </row>
    <row r="44" spans="1:26" ht="30.75" thickBot="1">
      <c r="A44" s="3460" t="str">
        <f>IF(OR(项目基本情况!E8="抵押价格",项目基本情况!E8="已注销及未注销"),"3.抵押价格","——")</f>
        <v>3.抵押价格</v>
      </c>
      <c r="B44" s="3461"/>
      <c r="C44" s="261">
        <f ca="1">IF(A44="——","——",C42-C43)</f>
        <v>146461</v>
      </c>
      <c r="D44" s="314">
        <f ca="1">ROUND(C44*10000/'数据-汇总表'!E3,0)</f>
        <v>8866</v>
      </c>
      <c r="E44" s="314">
        <f ca="1">ROUND(C44*10000/'数据-汇总表'!D3,0)</f>
        <v>21075</v>
      </c>
      <c r="F44" s="315">
        <f ca="1">ROUND(C44/('数据-汇总表'!D3/666.67),0)</f>
        <v>1405</v>
      </c>
      <c r="G44" s="308"/>
      <c r="H44" s="308"/>
      <c r="I44" s="316"/>
      <c r="J44" s="2024"/>
      <c r="K44" s="1273" t="str">
        <f>D4</f>
        <v>比较法-住宅、综合</v>
      </c>
      <c r="L44" s="1274">
        <f ca="1">IF(L42="估价结果/万元",D19,D20)</f>
        <v>137407</v>
      </c>
      <c r="M44" s="1275">
        <f>D18</f>
        <v>0.4</v>
      </c>
      <c r="N44" s="1276"/>
      <c r="O44" s="1277"/>
      <c r="P44" s="2022"/>
      <c r="V44" s="2022"/>
    </row>
    <row r="45" spans="1:26" ht="15">
      <c r="A45" s="3465" t="str">
        <f>IF(项目基本情况!E8="已注销及未注销","4.抵押担保权已注销时的抵押价格",IF(项目基本情况!E8="已注销","3.抵押担保权已注销时的抵押价格","——"))</f>
        <v>——</v>
      </c>
      <c r="B45" s="3466"/>
      <c r="C45" s="179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4"/>
      <c r="K45" s="2022"/>
      <c r="L45" s="2022"/>
      <c r="M45" s="2022"/>
      <c r="N45" s="2022"/>
      <c r="O45" s="2022"/>
      <c r="P45" s="2022"/>
      <c r="V45" s="2022"/>
    </row>
    <row r="46" spans="1:26" ht="15.75" thickBot="1">
      <c r="A46" s="3462" t="str">
        <f>IF(项目基本情况!E9="抵押净值",IF(A45="——","4.抵押净值","5.抵押净值"),"——")</f>
        <v>——</v>
      </c>
      <c r="B46" s="3463"/>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366</v>
      </c>
      <c r="B47" s="1278"/>
      <c r="C47" s="319" t="s">
        <v>367</v>
      </c>
      <c r="D47" s="320"/>
      <c r="E47" s="320"/>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v>1</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v>2</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368</v>
      </c>
      <c r="G53" s="334"/>
      <c r="H53" s="334"/>
      <c r="I53" s="335" t="s">
        <v>369</v>
      </c>
      <c r="J53" s="2025"/>
      <c r="K53" s="2022"/>
      <c r="L53" s="2022"/>
      <c r="M53" s="2022"/>
      <c r="N53" s="2022"/>
      <c r="O53" s="2022"/>
      <c r="P53" s="2022"/>
      <c r="Q53" s="2022"/>
      <c r="R53" s="2022"/>
      <c r="S53" s="2022"/>
      <c r="T53" s="2022"/>
      <c r="U53" s="2022"/>
      <c r="V53" s="2022"/>
    </row>
    <row r="54" spans="1:22" ht="12.75">
      <c r="A54" s="254"/>
      <c r="B54" s="336" t="s">
        <v>370</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371</v>
      </c>
      <c r="J56" s="2025"/>
      <c r="K56" s="2022"/>
      <c r="L56" s="2022"/>
      <c r="M56" s="2022"/>
      <c r="N56" s="2022"/>
      <c r="O56" s="2022"/>
      <c r="P56" s="2022"/>
      <c r="Q56" s="2022"/>
      <c r="R56" s="2022"/>
      <c r="S56" s="2022"/>
      <c r="T56" s="2022"/>
      <c r="U56" s="2022"/>
      <c r="V56" s="2022"/>
    </row>
    <row r="57" spans="1:22" ht="12.75">
      <c r="A57" s="254"/>
      <c r="B57" s="336" t="s">
        <v>372</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371</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5"/>
      <c r="E61" s="215"/>
      <c r="F61" s="250"/>
      <c r="G61" s="254"/>
      <c r="H61" s="254"/>
      <c r="I61" s="254"/>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428" t="s">
        <v>374</v>
      </c>
      <c r="B63" s="3429"/>
      <c r="C63" s="3430"/>
      <c r="D63" s="338">
        <f ca="1">ROUND(C42*F63,0)</f>
        <v>87877</v>
      </c>
      <c r="E63" s="299" t="s">
        <v>375</v>
      </c>
      <c r="F63" s="339">
        <v>0.6</v>
      </c>
      <c r="G63" s="340" t="s">
        <v>376</v>
      </c>
      <c r="H63" s="308"/>
      <c r="I63" s="308"/>
      <c r="J63" s="2022"/>
      <c r="K63" s="2022"/>
      <c r="L63" s="2022"/>
      <c r="M63" s="2022"/>
      <c r="N63" s="2022"/>
      <c r="O63" s="2022"/>
      <c r="P63" s="308"/>
      <c r="Q63" s="2022"/>
      <c r="R63" s="2022"/>
      <c r="S63" s="2022"/>
      <c r="T63" s="2022"/>
      <c r="U63" s="2022"/>
      <c r="V63" s="2022"/>
    </row>
    <row r="64" spans="1:22" ht="14.25" customHeight="1">
      <c r="A64" s="3467" t="s">
        <v>378</v>
      </c>
      <c r="B64" s="3468"/>
      <c r="C64" s="3468"/>
      <c r="D64" s="3468"/>
      <c r="E64" s="3468"/>
      <c r="F64" s="3468"/>
      <c r="G64" s="3469"/>
      <c r="H64" s="1283"/>
      <c r="I64" s="945"/>
      <c r="J64" s="1984"/>
      <c r="K64" s="1555" t="s">
        <v>377</v>
      </c>
      <c r="L64" s="11"/>
      <c r="M64" s="11"/>
      <c r="N64" s="11"/>
      <c r="O64" s="11"/>
      <c r="P64" s="308"/>
      <c r="Q64" s="2022"/>
      <c r="R64" s="2022"/>
      <c r="S64" s="2022"/>
      <c r="T64" s="2022"/>
      <c r="U64" s="2022"/>
      <c r="V64" s="2022"/>
    </row>
    <row r="65" spans="1:22" ht="12" customHeight="1">
      <c r="A65" s="341" t="s">
        <v>380</v>
      </c>
      <c r="B65" s="342"/>
      <c r="C65" s="343"/>
      <c r="D65" s="344" t="s">
        <v>381</v>
      </c>
      <c r="E65" s="53" t="s">
        <v>382</v>
      </c>
      <c r="F65" s="345" t="s">
        <v>383</v>
      </c>
      <c r="G65" s="346" t="s">
        <v>384</v>
      </c>
      <c r="H65" s="1283"/>
      <c r="I65" s="945"/>
      <c r="J65" s="1984"/>
      <c r="K65" s="1284"/>
      <c r="L65" s="1285"/>
      <c r="M65" s="1285"/>
      <c r="N65" s="1317" t="s">
        <v>379</v>
      </c>
      <c r="O65" s="1318"/>
      <c r="P65" s="1319"/>
      <c r="Q65" s="2022"/>
      <c r="R65" s="2022"/>
      <c r="S65" s="2022"/>
      <c r="T65" s="2022"/>
      <c r="U65" s="2022"/>
      <c r="V65" s="2022"/>
    </row>
    <row r="66" spans="1:22" ht="25.5">
      <c r="A66" s="3464" t="s">
        <v>386</v>
      </c>
      <c r="B66" s="3435"/>
      <c r="C66" s="3435"/>
      <c r="D66" s="258">
        <f ca="1">IF(H66="情况1",0,IF(H66="情况2",D70,IF(H66="情况3",D71,IF(H66="情况4",D72))))</f>
        <v>4729</v>
      </c>
      <c r="E66" s="988" t="str">
        <f>IF(H66="情况4","(销售额-原购置价)×税（费）率","销售额×税（费）率")</f>
        <v>销售额×税（费）率</v>
      </c>
      <c r="F66" s="347">
        <f>IF(H66="情况1","免征",'数据-取费表'!B41)</f>
        <v>5.6500000000000002E-2</v>
      </c>
      <c r="G66" s="348" t="s">
        <v>387</v>
      </c>
      <c r="H66" s="190" t="s">
        <v>388</v>
      </c>
      <c r="I66" s="1283"/>
      <c r="J66" s="2028"/>
      <c r="K66" s="1286">
        <v>1</v>
      </c>
      <c r="L66" s="3404" t="s">
        <v>385</v>
      </c>
      <c r="M66" s="3405"/>
      <c r="N66" s="2474"/>
      <c r="O66" s="2475"/>
      <c r="P66" s="2476"/>
      <c r="Q66" s="2022"/>
      <c r="R66" s="2022"/>
      <c r="S66" s="2022"/>
      <c r="T66" s="2022"/>
      <c r="U66" s="2022"/>
      <c r="V66" s="2022"/>
    </row>
    <row r="67" spans="1:22" ht="25.5" customHeight="1">
      <c r="A67" s="349" t="s">
        <v>390</v>
      </c>
      <c r="B67" s="3447" t="s">
        <v>391</v>
      </c>
      <c r="C67" s="3447"/>
      <c r="D67" s="350">
        <v>0</v>
      </c>
      <c r="E67" s="41" t="s">
        <v>392</v>
      </c>
      <c r="F67" s="62" t="s">
        <v>21</v>
      </c>
      <c r="G67" s="3431"/>
      <c r="H67" s="308"/>
      <c r="I67" s="1287"/>
      <c r="J67" s="2029"/>
      <c r="K67" s="1970">
        <v>2</v>
      </c>
      <c r="L67" s="3403" t="s">
        <v>389</v>
      </c>
      <c r="M67" s="3403"/>
      <c r="N67" s="1320">
        <f>'数据-取费表'!B2</f>
        <v>43313</v>
      </c>
      <c r="O67" s="1320"/>
      <c r="P67" s="1320"/>
      <c r="Q67" s="2022"/>
      <c r="R67" s="2022"/>
      <c r="S67" s="2022"/>
      <c r="T67" s="2022"/>
      <c r="U67" s="2022"/>
      <c r="V67" s="2022"/>
    </row>
    <row r="68" spans="1:22" ht="25.5" customHeight="1">
      <c r="A68" s="351"/>
      <c r="B68" s="3447" t="s">
        <v>394</v>
      </c>
      <c r="C68" s="3447"/>
      <c r="D68" s="352"/>
      <c r="E68" s="77"/>
      <c r="F68" s="353"/>
      <c r="G68" s="3432"/>
      <c r="H68" s="308"/>
      <c r="I68" s="1287"/>
      <c r="J68" s="2029"/>
      <c r="K68" s="1970">
        <v>3</v>
      </c>
      <c r="L68" s="3403" t="s">
        <v>393</v>
      </c>
      <c r="M68" s="3403"/>
      <c r="N68" s="1288">
        <f ca="1">C42</f>
        <v>146461</v>
      </c>
      <c r="O68" s="1288"/>
      <c r="P68" s="1288"/>
      <c r="Q68" s="2022"/>
      <c r="R68" s="2022"/>
      <c r="S68" s="2022"/>
      <c r="T68" s="2022"/>
      <c r="U68" s="2022"/>
      <c r="V68" s="2022"/>
    </row>
    <row r="69" spans="1:22" ht="12" customHeight="1">
      <c r="A69" s="354"/>
      <c r="B69" s="3447" t="s">
        <v>395</v>
      </c>
      <c r="C69" s="3447"/>
      <c r="D69" s="355"/>
      <c r="E69" s="73"/>
      <c r="F69" s="353"/>
      <c r="G69" s="3433"/>
      <c r="H69" s="308"/>
      <c r="I69" s="1287"/>
      <c r="J69" s="2029"/>
      <c r="K69" s="1289">
        <v>4</v>
      </c>
      <c r="L69" s="3409" t="s">
        <v>2884</v>
      </c>
      <c r="M69" s="3410"/>
      <c r="N69" s="1290">
        <f ca="1">C44</f>
        <v>146461</v>
      </c>
      <c r="O69" s="1290"/>
      <c r="P69" s="1290"/>
      <c r="Q69" s="2022"/>
      <c r="R69" s="2022"/>
      <c r="S69" s="2022"/>
      <c r="T69" s="2022"/>
      <c r="U69" s="2022"/>
      <c r="V69" s="2022"/>
    </row>
    <row r="70" spans="1:22" ht="24" customHeight="1">
      <c r="A70" s="356" t="s">
        <v>396</v>
      </c>
      <c r="B70" s="3447" t="s">
        <v>397</v>
      </c>
      <c r="C70" s="3447"/>
      <c r="D70" s="355">
        <f ca="1">ROUND(D63*'数据-取费表'!B41/(1+'数据-取费表'!C42),0)</f>
        <v>4729</v>
      </c>
      <c r="E70" s="17" t="s">
        <v>398</v>
      </c>
      <c r="F70" s="357">
        <f>'数据-取费表'!B41</f>
        <v>5.6500000000000002E-2</v>
      </c>
      <c r="G70" s="358"/>
      <c r="H70" s="308"/>
      <c r="I70" s="1287"/>
      <c r="J70" s="2029"/>
      <c r="K70" s="3076"/>
      <c r="L70" s="3077"/>
      <c r="M70" s="3077"/>
      <c r="N70" s="3078" t="s">
        <v>2889</v>
      </c>
      <c r="O70" s="3077"/>
      <c r="P70" s="3079"/>
      <c r="Q70" s="2022"/>
      <c r="R70" s="2022"/>
      <c r="S70" s="2022"/>
      <c r="T70" s="2022"/>
      <c r="U70" s="2022"/>
      <c r="V70" s="2022"/>
    </row>
    <row r="71" spans="1:22" ht="12" customHeight="1">
      <c r="A71" s="356" t="s">
        <v>404</v>
      </c>
      <c r="B71" s="3446" t="s">
        <v>405</v>
      </c>
      <c r="C71" s="3458"/>
      <c r="D71" s="355">
        <f ca="1">ROUND(D63*'数据-取费表'!B41/(1+'数据-取费表'!C42),0)</f>
        <v>4729</v>
      </c>
      <c r="E71" s="17" t="s">
        <v>398</v>
      </c>
      <c r="F71" s="357">
        <f>'数据-取费表'!B41</f>
        <v>5.6500000000000002E-2</v>
      </c>
      <c r="G71" s="358"/>
      <c r="H71" s="308"/>
      <c r="I71" s="1287"/>
      <c r="J71" s="2029"/>
      <c r="K71" s="3075" t="s">
        <v>399</v>
      </c>
      <c r="L71" s="3411" t="s">
        <v>400</v>
      </c>
      <c r="M71" s="3411"/>
      <c r="N71" s="3075" t="s">
        <v>401</v>
      </c>
      <c r="O71" s="3075" t="s">
        <v>402</v>
      </c>
      <c r="P71" s="3075" t="s">
        <v>403</v>
      </c>
      <c r="Q71" s="2022"/>
      <c r="R71" s="2022"/>
      <c r="S71" s="2022"/>
      <c r="T71" s="2022"/>
      <c r="U71" s="2022"/>
      <c r="V71" s="2022"/>
    </row>
    <row r="72" spans="1:22" ht="12" customHeight="1">
      <c r="A72" s="356" t="s">
        <v>407</v>
      </c>
      <c r="B72" s="3446" t="s">
        <v>408</v>
      </c>
      <c r="C72" s="3458"/>
      <c r="D72" s="355">
        <f ca="1">C86</f>
        <v>4616</v>
      </c>
      <c r="E72" s="73" t="s">
        <v>409</v>
      </c>
      <c r="F72" s="357">
        <f>'数据-取费表'!B41</f>
        <v>5.6500000000000002E-2</v>
      </c>
      <c r="G72" s="358"/>
      <c r="H72" s="1293"/>
      <c r="I72" s="1287"/>
      <c r="J72" s="2029"/>
      <c r="K72" s="1970">
        <v>1</v>
      </c>
      <c r="L72" s="3408" t="s">
        <v>406</v>
      </c>
      <c r="M72" s="3408"/>
      <c r="N72" s="1291">
        <f ca="1">D66</f>
        <v>4729</v>
      </c>
      <c r="O72" s="1853" t="str">
        <f>E66</f>
        <v>销售额×税（费）率</v>
      </c>
      <c r="P72" s="1292">
        <f>F66</f>
        <v>5.6500000000000002E-2</v>
      </c>
      <c r="Q72" s="2022"/>
      <c r="R72" s="2022"/>
      <c r="S72" s="2022"/>
      <c r="T72" s="2022"/>
      <c r="U72" s="2022"/>
      <c r="V72" s="2022"/>
    </row>
    <row r="73" spans="1:22" ht="24" customHeight="1">
      <c r="A73" s="3434" t="s">
        <v>411</v>
      </c>
      <c r="B73" s="3435"/>
      <c r="C73" s="3435"/>
      <c r="D73" s="359">
        <f>IF(H73="个人住宅",0,ROUND(D63*I73,0))</f>
        <v>0</v>
      </c>
      <c r="E73" s="17" t="s">
        <v>412</v>
      </c>
      <c r="F73" s="357" t="str">
        <f>IF(H73="正常",I73,"免征")</f>
        <v>免征</v>
      </c>
      <c r="G73" s="358"/>
      <c r="H73" s="190" t="s">
        <v>2456</v>
      </c>
      <c r="I73" s="357">
        <f>'数据-取费表'!B49</f>
        <v>5.0000000000000001E-4</v>
      </c>
      <c r="J73" s="2029"/>
      <c r="K73" s="1970">
        <v>2</v>
      </c>
      <c r="L73" s="3408" t="s">
        <v>410</v>
      </c>
      <c r="M73" s="3408"/>
      <c r="N73" s="1291">
        <f t="shared" ref="N73:P74" si="1">D73</f>
        <v>0</v>
      </c>
      <c r="O73" s="1853" t="str">
        <f t="shared" si="1"/>
        <v>销售额×税（费）率</v>
      </c>
      <c r="P73" s="1292" t="str">
        <f t="shared" si="1"/>
        <v>免征</v>
      </c>
      <c r="Q73" s="2022"/>
      <c r="R73" s="2022"/>
      <c r="S73" s="2022"/>
      <c r="T73" s="2022"/>
      <c r="U73" s="2022"/>
      <c r="V73" s="2022"/>
    </row>
    <row r="74" spans="1:22" ht="24.75">
      <c r="A74" s="3434" t="s">
        <v>415</v>
      </c>
      <c r="B74" s="3435"/>
      <c r="C74" s="3435"/>
      <c r="D74" s="359">
        <f ca="1">IF(H74="个人住宅",D75,D76)</f>
        <v>49043</v>
      </c>
      <c r="E74" s="17" t="s">
        <v>416</v>
      </c>
      <c r="F74" s="357" t="str">
        <f>IF(H74="正常",F76,"免征")</f>
        <v>——</v>
      </c>
      <c r="G74" s="978" t="s">
        <v>417</v>
      </c>
      <c r="H74" s="360" t="s">
        <v>413</v>
      </c>
      <c r="I74" s="42"/>
      <c r="J74" s="2029"/>
      <c r="K74" s="1970">
        <v>3</v>
      </c>
      <c r="L74" s="3408" t="s">
        <v>414</v>
      </c>
      <c r="M74" s="3408"/>
      <c r="N74" s="1291">
        <f t="shared" ca="1" si="1"/>
        <v>49043</v>
      </c>
      <c r="O74" s="1853" t="str">
        <f t="shared" si="1"/>
        <v>增值额×税（费）率</v>
      </c>
      <c r="P74" s="1294" t="str">
        <f t="shared" si="1"/>
        <v>——</v>
      </c>
      <c r="Q74" s="2022"/>
      <c r="R74" s="2022"/>
      <c r="S74" s="2022"/>
      <c r="T74" s="2022"/>
      <c r="U74" s="2022"/>
      <c r="V74" s="2022"/>
    </row>
    <row r="75" spans="1:22" ht="24">
      <c r="A75" s="356" t="s">
        <v>418</v>
      </c>
      <c r="B75" s="3415" t="s">
        <v>419</v>
      </c>
      <c r="C75" s="3416"/>
      <c r="D75" s="361">
        <v>0</v>
      </c>
      <c r="E75" s="41" t="s">
        <v>420</v>
      </c>
      <c r="F75" s="362"/>
      <c r="G75" s="358"/>
      <c r="H75" s="42"/>
      <c r="I75" s="42"/>
      <c r="J75" s="2029"/>
      <c r="K75" s="3068">
        <f>IF(H77="非个人房产","",4)</f>
        <v>4</v>
      </c>
      <c r="L75" s="3408" t="str">
        <f>IF(H77="非个人房产","——","个人所得税")</f>
        <v>个人所得税</v>
      </c>
      <c r="M75" s="3408"/>
      <c r="N75" s="1295">
        <f ca="1">D77</f>
        <v>879</v>
      </c>
      <c r="O75" s="1866" t="str">
        <f>E77</f>
        <v>销售额×税（费）率</v>
      </c>
      <c r="P75" s="1296">
        <f>F77</f>
        <v>0.01</v>
      </c>
      <c r="Q75" s="2022"/>
      <c r="R75" s="2022"/>
      <c r="S75" s="2022"/>
      <c r="T75" s="2022"/>
      <c r="U75" s="2022"/>
      <c r="V75" s="2022"/>
    </row>
    <row r="76" spans="1:22" ht="24.75">
      <c r="A76" s="356" t="s">
        <v>396</v>
      </c>
      <c r="B76" s="3415" t="s">
        <v>422</v>
      </c>
      <c r="C76" s="3457"/>
      <c r="D76" s="359">
        <f ca="1">IF(H76="转让取得",C99,C115)</f>
        <v>49043</v>
      </c>
      <c r="E76" s="17" t="s">
        <v>423</v>
      </c>
      <c r="F76" s="53" t="s">
        <v>21</v>
      </c>
      <c r="G76" s="358"/>
      <c r="H76" s="360" t="s">
        <v>424</v>
      </c>
      <c r="I76" s="42"/>
      <c r="J76" s="2029"/>
      <c r="K76" s="3068" t="str">
        <f>IF(项目基本情况!K6="上海银行",IF(K75="",4,K75+1),"")</f>
        <v/>
      </c>
      <c r="L76" s="3396" t="str">
        <f>IF(项目基本情况!K6="上海银行","其他处置费用","")</f>
        <v/>
      </c>
      <c r="M76" s="3397"/>
      <c r="N76" s="1291" t="str">
        <f>IF(项目基本情况!K6="上海银行",N89,"")</f>
        <v/>
      </c>
      <c r="O76" s="3398" t="str">
        <f>IF(项目基本情况!K6="上海银行","包含处置中涉及的律师、诉讼、拍卖、评估等费用","")</f>
        <v/>
      </c>
      <c r="P76" s="3399"/>
      <c r="Q76" s="2022"/>
      <c r="R76" s="2022"/>
      <c r="S76" s="2022"/>
      <c r="T76" s="2022"/>
      <c r="U76" s="2022"/>
      <c r="V76" s="2022"/>
    </row>
    <row r="77" spans="1:22" ht="26.25" thickBot="1">
      <c r="A77" s="3426" t="s">
        <v>426</v>
      </c>
      <c r="B77" s="3427"/>
      <c r="C77" s="3427"/>
      <c r="D77" s="363">
        <f ca="1">IF(H77="非个人房产","——",IF(H77="个人住宅",0,ROUND(D63*I77,0)))</f>
        <v>879</v>
      </c>
      <c r="E77" s="364" t="str">
        <f>IF(H77="非个人房产","——","销售额×税（费）率")</f>
        <v>销售额×税（费）率</v>
      </c>
      <c r="F77" s="365">
        <f>IF(H77="非个人房产","——",IF(H77="个人住宅","免征",I77))</f>
        <v>0.01</v>
      </c>
      <c r="G77" s="979" t="s">
        <v>417</v>
      </c>
      <c r="H77" s="360" t="s">
        <v>2885</v>
      </c>
      <c r="I77" s="366">
        <v>0.01</v>
      </c>
      <c r="J77" s="2029"/>
      <c r="K77" s="3422">
        <f>IF(AND(K75="",K76=""),4,IF(项目基本情况!K6="上海银行",K76+1,K75+1))</f>
        <v>5</v>
      </c>
      <c r="L77" s="3408" t="s">
        <v>2886</v>
      </c>
      <c r="M77" s="3074" t="s">
        <v>421</v>
      </c>
      <c r="N77" s="1297"/>
      <c r="O77" s="1298">
        <f ca="1">SUMIF(N72:N76,"&lt;9e307")</f>
        <v>54651</v>
      </c>
      <c r="P77" s="1299"/>
      <c r="Q77" s="3072">
        <f ca="1">O77/N69</f>
        <v>0.37314370378462525</v>
      </c>
      <c r="R77" s="2022"/>
      <c r="S77" s="2022"/>
      <c r="T77" s="2022"/>
      <c r="U77" s="2022"/>
      <c r="V77" s="2022"/>
    </row>
    <row r="78" spans="1:22" ht="12" customHeight="1">
      <c r="A78" s="1300"/>
      <c r="B78" s="308"/>
      <c r="C78" s="308"/>
      <c r="D78" s="308"/>
      <c r="E78" s="42"/>
      <c r="F78" s="42"/>
      <c r="G78" s="42"/>
      <c r="H78" s="998"/>
      <c r="I78" s="308"/>
      <c r="J78" s="2029"/>
      <c r="K78" s="3422"/>
      <c r="L78" s="3408"/>
      <c r="M78" s="3074" t="s">
        <v>425</v>
      </c>
      <c r="N78" s="1297"/>
      <c r="O78" s="1298" t="str">
        <f ca="1">NUMBERSTRING(INT(O77*10000),2)&amp;"元整"</f>
        <v>伍亿肆仟陆佰伍拾壹万元整</v>
      </c>
      <c r="P78" s="1299"/>
      <c r="Q78" s="2022"/>
      <c r="R78" s="2022"/>
      <c r="S78" s="2022"/>
      <c r="T78" s="2022"/>
      <c r="U78" s="2022"/>
      <c r="V78" s="2022"/>
    </row>
    <row r="79" spans="1:22" ht="13.5" thickBot="1">
      <c r="A79" s="3412" t="s">
        <v>427</v>
      </c>
      <c r="B79" s="3412"/>
      <c r="C79" s="3412"/>
      <c r="D79" s="3412"/>
      <c r="E79" s="3412"/>
      <c r="F79" s="42"/>
      <c r="G79" s="42"/>
      <c r="H79" s="998"/>
      <c r="I79" s="308"/>
      <c r="J79" s="2029"/>
      <c r="K79" s="3406">
        <f>K77+1</f>
        <v>6</v>
      </c>
      <c r="L79" s="3408" t="s">
        <v>2887</v>
      </c>
      <c r="M79" s="3074" t="s">
        <v>421</v>
      </c>
      <c r="N79" s="1297"/>
      <c r="O79" s="1298">
        <f ca="1">N69-O77</f>
        <v>91810</v>
      </c>
      <c r="P79" s="1299"/>
      <c r="Q79" s="2022"/>
      <c r="R79" s="2022"/>
      <c r="S79" s="2022"/>
      <c r="T79" s="2022"/>
      <c r="U79" s="2022"/>
      <c r="V79" s="2022"/>
    </row>
    <row r="80" spans="1:22" ht="25.5">
      <c r="A80" s="3413" t="s">
        <v>428</v>
      </c>
      <c r="B80" s="3414"/>
      <c r="C80" s="989"/>
      <c r="D80" s="989" t="s">
        <v>429</v>
      </c>
      <c r="E80" s="367" t="s">
        <v>430</v>
      </c>
      <c r="F80" s="42"/>
      <c r="G80" s="42"/>
      <c r="H80" s="998"/>
      <c r="I80" s="308"/>
      <c r="J80" s="2022"/>
      <c r="K80" s="3407"/>
      <c r="L80" s="3408"/>
      <c r="M80" s="3074" t="s">
        <v>425</v>
      </c>
      <c r="N80" s="1297"/>
      <c r="O80" s="1298" t="str">
        <f ca="1">NUMBERSTRING(INT(O79*10000),2)&amp;"元整"</f>
        <v>玖亿壹仟捌佰壹拾万元整</v>
      </c>
      <c r="P80" s="1299"/>
      <c r="Q80" s="2022"/>
      <c r="R80" s="2022"/>
      <c r="S80" s="2022"/>
      <c r="T80" s="2022"/>
      <c r="U80" s="2022"/>
      <c r="V80" s="2022"/>
    </row>
    <row r="81" spans="1:26" ht="13.5" thickBot="1">
      <c r="A81" s="378" t="s">
        <v>1823</v>
      </c>
      <c r="B81" s="368" t="s">
        <v>431</v>
      </c>
      <c r="C81" s="369">
        <f ca="1">ROUND((C82+C83)/(1+'数据-取费表'!C42),0)</f>
        <v>83692</v>
      </c>
      <c r="D81" s="370"/>
      <c r="E81" s="371"/>
      <c r="F81" s="42"/>
      <c r="G81" s="42"/>
      <c r="H81" s="998"/>
      <c r="I81" s="308"/>
      <c r="J81" s="2022"/>
      <c r="K81" s="3068">
        <f>K79+1</f>
        <v>7</v>
      </c>
      <c r="L81" s="3420" t="s">
        <v>2888</v>
      </c>
      <c r="M81" s="3421"/>
      <c r="N81" s="1301"/>
      <c r="O81" s="1302">
        <f ca="1">ROUND(O79*10000/'数据-汇总表'!E3,0)</f>
        <v>5557</v>
      </c>
      <c r="P81" s="1303"/>
      <c r="Q81" s="2022"/>
      <c r="R81" s="2022"/>
      <c r="S81" s="2022"/>
      <c r="T81" s="2022"/>
      <c r="U81" s="2022"/>
      <c r="V81" s="2022"/>
    </row>
    <row r="82" spans="1:26" ht="13.5" thickTop="1">
      <c r="A82" s="372" t="s">
        <v>1824</v>
      </c>
      <c r="B82" s="373" t="s">
        <v>432</v>
      </c>
      <c r="C82" s="374">
        <f ca="1">D63</f>
        <v>87877</v>
      </c>
      <c r="D82" s="375" t="s">
        <v>19</v>
      </c>
      <c r="E82" s="376"/>
      <c r="F82" s="42"/>
      <c r="G82" s="42"/>
      <c r="H82" s="998"/>
      <c r="I82" s="308"/>
      <c r="J82" s="2022"/>
      <c r="K82" s="2022"/>
      <c r="L82" s="2022"/>
      <c r="M82" s="2022"/>
      <c r="N82" s="2022"/>
      <c r="O82" s="2022"/>
      <c r="P82" s="2022"/>
      <c r="Q82" s="2022"/>
      <c r="R82" s="2022"/>
      <c r="S82" s="2022"/>
      <c r="T82" s="2022"/>
      <c r="U82" s="2022"/>
      <c r="V82" s="2022"/>
    </row>
    <row r="83" spans="1:26" ht="12.75">
      <c r="A83" s="372" t="s">
        <v>1825</v>
      </c>
      <c r="B83" s="373" t="s">
        <v>433</v>
      </c>
      <c r="C83" s="377">
        <v>0</v>
      </c>
      <c r="D83" s="375"/>
      <c r="E83" s="376"/>
      <c r="F83" s="42"/>
      <c r="G83" s="42"/>
      <c r="H83" s="998"/>
      <c r="I83" s="308"/>
      <c r="J83" s="2022"/>
      <c r="K83" s="3395" t="s">
        <v>2875</v>
      </c>
      <c r="L83" s="3080" t="s">
        <v>2876</v>
      </c>
      <c r="M83" s="3070">
        <f ca="1">IF(N69&gt;10000,N69*0.5%,IF(AND(N69&gt;1000,N69&lt;=10000),N69*1%,IF(AND(N69&gt;100,N69&lt;=1000),N69*3%,IF(AND(N69&gt;10,N69&lt;=100),N69*5%,N69*8%))))</f>
        <v>732.30500000000006</v>
      </c>
      <c r="N83" s="53">
        <f ca="1">ROUND(M83,1)</f>
        <v>732.3</v>
      </c>
      <c r="O83" s="3073"/>
      <c r="P83" s="2022"/>
      <c r="Q83" s="2022"/>
      <c r="R83" s="2022"/>
      <c r="S83" s="2022"/>
      <c r="T83" s="2022"/>
      <c r="U83" s="2022"/>
      <c r="V83" s="2022"/>
    </row>
    <row r="84" spans="1:26" ht="12.75">
      <c r="A84" s="378" t="s">
        <v>1826</v>
      </c>
      <c r="B84" s="379" t="s">
        <v>434</v>
      </c>
      <c r="C84" s="380">
        <v>2000</v>
      </c>
      <c r="D84" s="381" t="s">
        <v>19</v>
      </c>
      <c r="E84" s="3112" t="s">
        <v>2937</v>
      </c>
      <c r="F84" s="42"/>
      <c r="G84" s="42"/>
      <c r="H84" s="998"/>
      <c r="I84" s="308"/>
      <c r="J84" s="2022"/>
      <c r="K84" s="3395"/>
      <c r="L84" s="3080" t="s">
        <v>2877</v>
      </c>
      <c r="M84" s="3070">
        <f ca="1">IF(N69&gt;2000,N69*0.5%,IF(AND(N69&gt;1000,N69&lt;=2000),N69*0.6%,IF(AND(N69&gt;500,N69&lt;=1000),N69*0.7%,IF(AND(N69&gt;200,N69&lt;=500),N69*0.8%,IF(AND(N69&gt;100,N69&lt;=200),N69*0.9%,IF(AND(N69&gt;50,N69&lt;=100),N69*1%,IF(AND(N69&gt;20,N69&lt;=50),N69*1.5%,IF(AND(N69&gt;10,N69&lt;=20),N69*2%,IF(AND(N69&gt;1,N69&lt;=10),N69*2.5%)))))))))</f>
        <v>732.30500000000006</v>
      </c>
      <c r="N84" s="53">
        <f t="shared" ref="N84:N85" ca="1" si="2">ROUND(M84,1)</f>
        <v>732.3</v>
      </c>
      <c r="O84" s="2022" t="s">
        <v>2878</v>
      </c>
      <c r="P84" s="2022"/>
      <c r="Q84" s="2022"/>
      <c r="R84" s="2022"/>
      <c r="S84" s="2022"/>
      <c r="T84" s="2022"/>
      <c r="U84" s="2022"/>
      <c r="V84" s="2022"/>
    </row>
    <row r="85" spans="1:26" ht="12.75">
      <c r="A85" s="378" t="s">
        <v>1827</v>
      </c>
      <c r="B85" s="379" t="s">
        <v>435</v>
      </c>
      <c r="C85" s="382">
        <f ca="1">C81-C84</f>
        <v>81692</v>
      </c>
      <c r="D85" s="375" t="s">
        <v>19</v>
      </c>
      <c r="E85" s="376"/>
      <c r="F85" s="42"/>
      <c r="G85" s="42"/>
      <c r="H85" s="998"/>
      <c r="I85" s="308"/>
      <c r="J85" s="2022"/>
      <c r="K85" s="3395"/>
      <c r="L85" s="3080" t="s">
        <v>2879</v>
      </c>
      <c r="M85" s="3070">
        <f ca="1">IF(N69&gt;1000,N69*0.1%,IF(AND(N69&gt;500,N69&lt;=1000),N69*0.5%,IF(AND(N69&gt;50,N69&lt;=500),N69*1%,IF(AND(N69&gt;1,N69&lt;=50),N69*1.5%))))</f>
        <v>146.46100000000001</v>
      </c>
      <c r="N85" s="53">
        <f t="shared" ca="1" si="2"/>
        <v>146.5</v>
      </c>
      <c r="O85" s="2022" t="s">
        <v>2878</v>
      </c>
      <c r="P85" s="2022"/>
      <c r="Q85" s="2022"/>
      <c r="R85" s="2022"/>
      <c r="S85" s="2022"/>
      <c r="T85" s="2022"/>
      <c r="U85" s="2022"/>
      <c r="V85" s="2022"/>
    </row>
    <row r="86" spans="1:26" ht="13.5" thickBot="1">
      <c r="A86" s="383" t="s">
        <v>1828</v>
      </c>
      <c r="B86" s="384" t="s">
        <v>436</v>
      </c>
      <c r="C86" s="385">
        <f ca="1">IF(C85&lt;=0,0,ROUND(C85*D86,0))</f>
        <v>4616</v>
      </c>
      <c r="D86" s="386">
        <f>'数据-取费表'!B41</f>
        <v>5.6500000000000002E-2</v>
      </c>
      <c r="E86" s="387"/>
      <c r="F86" s="42"/>
      <c r="G86" s="42"/>
      <c r="H86" s="998"/>
      <c r="I86" s="308"/>
      <c r="J86" s="2022"/>
      <c r="K86" s="3395"/>
      <c r="L86" s="3080" t="s">
        <v>2880</v>
      </c>
      <c r="M86" s="3070">
        <f ca="1">N69*0.5%</f>
        <v>732.30500000000006</v>
      </c>
      <c r="N86" s="53">
        <f ca="1">IF(M86&gt;0.5,0.5,ROUND(M86,0))</f>
        <v>0.5</v>
      </c>
      <c r="O86" s="2022" t="s">
        <v>2881</v>
      </c>
      <c r="P86" s="2022"/>
      <c r="Q86" s="2022"/>
      <c r="R86" s="2022"/>
      <c r="S86" s="2022"/>
      <c r="T86" s="2022"/>
      <c r="U86" s="2022"/>
      <c r="V86" s="2022"/>
    </row>
    <row r="87" spans="1:26" s="1249" customFormat="1" ht="14.25" customHeight="1">
      <c r="A87" s="1304"/>
      <c r="B87" s="1305"/>
      <c r="C87" s="1306"/>
      <c r="D87" s="1307"/>
      <c r="E87" s="1308"/>
      <c r="F87" s="42"/>
      <c r="G87" s="42"/>
      <c r="H87" s="998"/>
      <c r="I87" s="308"/>
      <c r="J87" s="2022"/>
      <c r="K87" s="3395"/>
      <c r="L87" s="3080" t="s">
        <v>2882</v>
      </c>
      <c r="M87" s="3070">
        <f ca="1">IF(N69&gt;=10000,(8.25+(N69-10000)*0.01%),IF(AND(N69&gt;=8000,N69&lt;10000),(7.85+(N69-8000)*0.02%),IF(AND(N69&gt;=5000,N69&lt;8000),(6.65+(N69-5000)*0.04%),IF(AND(N69&gt;=2000,N69&lt;5000),(4.25+(PN69-2000)*0.08%),IF(AND(N69&gt;=1000,N69&lt;2000),(2.75+(N69-1000)*0.15%),IF(AND(N69&gt;=100,N69&lt;1000),(0.5+(N69-100)*0.25%),IF(AND(N69&gt;0,N69&lt;100),N69*0.5%)))))))</f>
        <v>21.896100000000001</v>
      </c>
      <c r="N87" s="53">
        <f ca="1">ROUND(M87*0.9,1)</f>
        <v>19.7</v>
      </c>
      <c r="O87" s="3073"/>
      <c r="P87" s="308"/>
      <c r="Q87" s="2022"/>
      <c r="R87" s="2022"/>
      <c r="S87" s="2022"/>
      <c r="T87" s="2022"/>
      <c r="U87" s="2022"/>
      <c r="V87" s="2022"/>
      <c r="W87" s="289"/>
      <c r="X87" s="289"/>
      <c r="Y87" s="289"/>
      <c r="Z87" s="289"/>
    </row>
    <row r="88" spans="1:26" s="1309" customFormat="1" ht="15" thickBot="1">
      <c r="A88" s="3449" t="s">
        <v>437</v>
      </c>
      <c r="B88" s="3450"/>
      <c r="C88" s="3450"/>
      <c r="D88" s="3450"/>
      <c r="E88" s="3450"/>
      <c r="F88" s="3450"/>
      <c r="G88" s="3450"/>
      <c r="H88" s="3450"/>
      <c r="I88" s="1310"/>
      <c r="J88" s="2030"/>
      <c r="K88" s="3395"/>
      <c r="L88" s="3080" t="s">
        <v>2883</v>
      </c>
      <c r="M88" s="3070">
        <f ca="1">IF(N69&gt;10000,N69*0.5%,IF(AND(N69&gt;5000,N69&lt;=10000),N69*1%,IF(AND(N69&gt;1000,N69&lt;=5000),N69*2%,IF(AND(N69&gt;200,N69&lt;=1000),N69*3%,N69*5%))))</f>
        <v>732.30500000000006</v>
      </c>
      <c r="N88" s="53">
        <f ca="1">ROUND(M88,1)</f>
        <v>732.3</v>
      </c>
      <c r="O88" s="3073"/>
      <c r="P88" s="11"/>
      <c r="Q88" s="2027"/>
      <c r="R88" s="2027"/>
      <c r="S88" s="2027"/>
      <c r="T88" s="2027"/>
      <c r="U88" s="2027"/>
      <c r="V88" s="2027"/>
      <c r="W88" s="2031"/>
      <c r="X88" s="2031"/>
      <c r="Y88" s="2031"/>
      <c r="Z88" s="2031"/>
    </row>
    <row r="89" spans="1:26" s="1309" customFormat="1" ht="14.25">
      <c r="A89" s="3413" t="s">
        <v>428</v>
      </c>
      <c r="B89" s="3414"/>
      <c r="C89" s="989"/>
      <c r="D89" s="989" t="s">
        <v>429</v>
      </c>
      <c r="E89" s="388" t="s">
        <v>438</v>
      </c>
      <c r="F89" s="389"/>
      <c r="G89" s="389"/>
      <c r="H89" s="390"/>
      <c r="I89" s="1311"/>
      <c r="J89" s="2032"/>
      <c r="K89" s="3395"/>
      <c r="L89" s="3080" t="s">
        <v>27</v>
      </c>
      <c r="M89" s="3071"/>
      <c r="N89" s="53">
        <f ca="1">ROUND(SUM(N83:N88),0)</f>
        <v>2364</v>
      </c>
      <c r="O89" s="3081">
        <f ca="1">N89/N69</f>
        <v>1.6140815643754993E-2</v>
      </c>
      <c r="P89" s="2027"/>
      <c r="Q89" s="2027"/>
      <c r="R89" s="2027"/>
      <c r="S89" s="2027"/>
      <c r="T89" s="2027"/>
      <c r="U89" s="2027"/>
      <c r="V89" s="2027"/>
      <c r="W89" s="2031"/>
      <c r="X89" s="2031"/>
      <c r="Y89" s="2031"/>
      <c r="Z89" s="2031"/>
    </row>
    <row r="90" spans="1:26" s="1309" customFormat="1" ht="14.25">
      <c r="A90" s="378" t="s">
        <v>1823</v>
      </c>
      <c r="B90" s="379" t="s">
        <v>439</v>
      </c>
      <c r="C90" s="382">
        <f ca="1">ROUND(D63/(1+'数据-取费表'!C42),0)</f>
        <v>83692</v>
      </c>
      <c r="D90" s="375" t="s">
        <v>19</v>
      </c>
      <c r="E90" s="986"/>
      <c r="F90" s="985"/>
      <c r="G90" s="985"/>
      <c r="H90" s="391"/>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8" t="s">
        <v>1829</v>
      </c>
      <c r="B91" s="345" t="s">
        <v>440</v>
      </c>
      <c r="C91" s="382">
        <f ca="1">C92+C96</f>
        <v>3105</v>
      </c>
      <c r="D91" s="375" t="s">
        <v>19</v>
      </c>
      <c r="E91" s="986"/>
      <c r="F91" s="985"/>
      <c r="G91" s="985"/>
      <c r="H91" s="391"/>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2" t="s">
        <v>1830</v>
      </c>
      <c r="B92" s="373" t="s">
        <v>441</v>
      </c>
      <c r="C92" s="375">
        <f>ROUND(IF(G95="2016年5月1日后购买",C93/(1+'数据-取费表'!C30)+C94+C95,C93+C94+C95),0)</f>
        <v>2561</v>
      </c>
      <c r="D92" s="375" t="s">
        <v>19</v>
      </c>
      <c r="E92" s="986"/>
      <c r="F92" s="985"/>
      <c r="G92" s="985"/>
      <c r="H92" s="391"/>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2" t="s">
        <v>1831</v>
      </c>
      <c r="B93" s="373" t="s">
        <v>442</v>
      </c>
      <c r="C93" s="393">
        <v>2000</v>
      </c>
      <c r="D93" s="375" t="s">
        <v>19</v>
      </c>
      <c r="E93" s="394" t="s">
        <v>443</v>
      </c>
      <c r="F93" s="395" t="s">
        <v>444</v>
      </c>
      <c r="G93" s="394" t="s">
        <v>445</v>
      </c>
      <c r="H93" s="396">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2" t="s">
        <v>1832</v>
      </c>
      <c r="B94" s="397" t="s">
        <v>446</v>
      </c>
      <c r="C94" s="375">
        <f>IF(F93="购房发票",ROUND(C93*H93*5%,0),0)</f>
        <v>500</v>
      </c>
      <c r="D94" s="398">
        <v>0.05</v>
      </c>
      <c r="E94" s="3446" t="s">
        <v>447</v>
      </c>
      <c r="F94" s="3447"/>
      <c r="G94" s="3447"/>
      <c r="H94" s="3448"/>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2" t="s">
        <v>1833</v>
      </c>
      <c r="B95" s="373" t="s">
        <v>448</v>
      </c>
      <c r="C95" s="375">
        <f>ROUND(IF(G95="个人买卖住房",0,IF(G95="2016年5月1日前购买",C93*D95,C93*D95/(1+'数据-取费表'!C42))),0)</f>
        <v>61</v>
      </c>
      <c r="D95" s="399">
        <f>'数据-取费表'!B48+'数据-取费表'!B49</f>
        <v>3.0499999999999999E-2</v>
      </c>
      <c r="E95" s="26" t="s">
        <v>449</v>
      </c>
      <c r="F95" s="400"/>
      <c r="G95" s="401" t="s">
        <v>2430</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2" t="s">
        <v>1834</v>
      </c>
      <c r="B96" s="373" t="s">
        <v>450</v>
      </c>
      <c r="C96" s="402">
        <f ca="1">ROUND(D63*D96/(1+'数据-取费表'!C42),0)</f>
        <v>544</v>
      </c>
      <c r="D96" s="403">
        <f>'数据-取费表'!B43</f>
        <v>6.5000000000000006E-3</v>
      </c>
      <c r="E96" s="3436" t="s">
        <v>2429</v>
      </c>
      <c r="F96" s="3437"/>
      <c r="G96" s="3437"/>
      <c r="H96" s="3438"/>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1" t="s">
        <v>1835</v>
      </c>
      <c r="B97" s="379" t="s">
        <v>451</v>
      </c>
      <c r="C97" s="382">
        <f ca="1">C90-C91</f>
        <v>80587</v>
      </c>
      <c r="D97" s="375" t="s">
        <v>19</v>
      </c>
      <c r="E97" s="986"/>
      <c r="F97" s="985"/>
      <c r="G97" s="985"/>
      <c r="H97" s="391"/>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1" t="s">
        <v>1836</v>
      </c>
      <c r="B98" s="379" t="s">
        <v>452</v>
      </c>
      <c r="C98" s="404">
        <f ca="1">IF(C97&lt;=0,0,C97/C91)</f>
        <v>25.953945249597425</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1"/>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2" t="s">
        <v>1837</v>
      </c>
      <c r="B99" s="384" t="s">
        <v>453</v>
      </c>
      <c r="C99" s="405">
        <f ca="1">ROUND(IF(C97&lt;=0,0,IF(C98&gt;=200%,C97*60%-C91*35%,IF(C98&gt;=100%,C97*50%-C91*15%,IF(C98&gt;=50%,C97*40%-C91*5%,IF(C98&lt;50%,C97*30%,0))))),0)</f>
        <v>47265</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449" t="s">
        <v>454</v>
      </c>
      <c r="B101" s="3450"/>
      <c r="C101" s="3450"/>
      <c r="D101" s="3450"/>
      <c r="E101" s="3450"/>
      <c r="F101" s="3450"/>
      <c r="G101" s="3450"/>
      <c r="H101" s="3450"/>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413" t="s">
        <v>428</v>
      </c>
      <c r="B102" s="3414"/>
      <c r="C102" s="989"/>
      <c r="D102" s="989" t="s">
        <v>429</v>
      </c>
      <c r="E102" s="388" t="s">
        <v>438</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8" t="s">
        <v>1823</v>
      </c>
      <c r="B103" s="379" t="s">
        <v>439</v>
      </c>
      <c r="C103" s="382">
        <f ca="1">ROUND(D63/(1+'数据-取费表'!C42),0)</f>
        <v>83692</v>
      </c>
      <c r="D103" s="375" t="s">
        <v>19</v>
      </c>
      <c r="E103" s="986"/>
      <c r="F103" s="985"/>
      <c r="G103" s="985"/>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8" t="s">
        <v>1829</v>
      </c>
      <c r="B104" s="345" t="s">
        <v>440</v>
      </c>
      <c r="C104" s="382">
        <f ca="1">IF(H106="仅含出让金",C105+C108+C109+C110+C111+C112,C105+C109+C110+C111+C112)</f>
        <v>1234</v>
      </c>
      <c r="D104" s="412"/>
      <c r="E104" s="986"/>
      <c r="F104" s="985"/>
      <c r="G104" s="985"/>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2" t="s">
        <v>1830</v>
      </c>
      <c r="B105" s="373" t="s">
        <v>455</v>
      </c>
      <c r="C105" s="402">
        <f>C106+C107</f>
        <v>572</v>
      </c>
      <c r="D105" s="403"/>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2" t="s">
        <v>1831</v>
      </c>
      <c r="B106" s="373" t="s">
        <v>456</v>
      </c>
      <c r="C106" s="413">
        <v>555</v>
      </c>
      <c r="D106" s="403"/>
      <c r="E106" s="414" t="s">
        <v>457</v>
      </c>
      <c r="F106" s="981"/>
      <c r="G106" s="415" t="s">
        <v>458</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2" t="s">
        <v>1832</v>
      </c>
      <c r="B107" s="373" t="s">
        <v>448</v>
      </c>
      <c r="C107" s="402">
        <f>ROUND(C106*D107,0)</f>
        <v>17</v>
      </c>
      <c r="D107" s="403">
        <f>'数据-取费表'!B48+'数据-取费表'!B49</f>
        <v>3.0499999999999999E-2</v>
      </c>
      <c r="E107" s="414"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2" t="s">
        <v>1834</v>
      </c>
      <c r="B108" s="373" t="s">
        <v>460</v>
      </c>
      <c r="C108" s="413"/>
      <c r="D108" s="403"/>
      <c r="E108" s="414"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3" t="s">
        <v>1838</v>
      </c>
      <c r="B109" s="373" t="s">
        <v>461</v>
      </c>
      <c r="C109" s="402">
        <f>IF(H109="——",IF(F1="现房",'剩余法-现房'!C18,'剩余法-待开发'!C18),I109)</f>
        <v>55</v>
      </c>
      <c r="D109" s="403"/>
      <c r="E109" s="3439" t="s">
        <v>462</v>
      </c>
      <c r="F109" s="3437"/>
      <c r="G109" s="3437"/>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3" t="s">
        <v>1839</v>
      </c>
      <c r="B110" s="373" t="s">
        <v>463</v>
      </c>
      <c r="C110" s="402">
        <f>ROUND((C105+C108+C109)*D110,0)</f>
        <v>63</v>
      </c>
      <c r="D110" s="403">
        <v>0.1</v>
      </c>
      <c r="E110" s="3439" t="s">
        <v>464</v>
      </c>
      <c r="F110" s="3437"/>
      <c r="G110" s="3437"/>
      <c r="H110" s="3438"/>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3" t="s">
        <v>1840</v>
      </c>
      <c r="B111" s="373" t="s">
        <v>450</v>
      </c>
      <c r="C111" s="402">
        <f ca="1">ROUND(D63*D111/(1+'数据-取费表'!C42),0)</f>
        <v>544</v>
      </c>
      <c r="D111" s="403">
        <f>'数据-取费表'!B43</f>
        <v>6.5000000000000006E-3</v>
      </c>
      <c r="E111" s="3436" t="s">
        <v>2429</v>
      </c>
      <c r="F111" s="3437"/>
      <c r="G111" s="3437"/>
      <c r="H111" s="3438"/>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3" t="s">
        <v>1841</v>
      </c>
      <c r="B112" s="373" t="s">
        <v>465</v>
      </c>
      <c r="C112" s="402">
        <f>ROUND(C108*D112,0)</f>
        <v>0</v>
      </c>
      <c r="D112" s="403">
        <v>0.2</v>
      </c>
      <c r="E112" s="3439" t="s">
        <v>2454</v>
      </c>
      <c r="F112" s="3437"/>
      <c r="G112" s="3437"/>
      <c r="H112" s="3438"/>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1" t="s">
        <v>1835</v>
      </c>
      <c r="B113" s="379" t="s">
        <v>451</v>
      </c>
      <c r="C113" s="382">
        <f ca="1">ROUND(C103-C104,0)</f>
        <v>82458</v>
      </c>
      <c r="D113" s="375" t="s">
        <v>19</v>
      </c>
      <c r="E113" s="986"/>
      <c r="F113" s="985"/>
      <c r="G113" s="985"/>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1" t="s">
        <v>1836</v>
      </c>
      <c r="B114" s="379" t="s">
        <v>452</v>
      </c>
      <c r="C114" s="404">
        <f ca="1">IF(C113&lt;=0,0,C113/C104)</f>
        <v>66.82171799027553</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2" t="s">
        <v>1837</v>
      </c>
      <c r="B115" s="384" t="s">
        <v>453</v>
      </c>
      <c r="C115" s="405">
        <f ca="1">ROUND(IF(C113&lt;=0,0,IF(C114&gt;=200%,C113*60%-C104*35%,IF(C114&gt;=100%,C113*50%-C104*15%,IF(C114&gt;=50%,C113*40%-C104*5%,IF(C114&lt;50%,C113*30%,0))))),0)</f>
        <v>49043</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6" sqref="L2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25"/>
      <c r="C1" s="2098"/>
      <c r="D1" s="2098"/>
      <c r="E1" s="2098"/>
      <c r="F1" s="2098"/>
      <c r="G1" s="2098"/>
      <c r="H1" s="2098"/>
      <c r="I1" s="2098"/>
      <c r="J1" s="2098"/>
      <c r="K1" s="419">
        <f>MATCH(B1,'数据-取费表'!A6:A16,0)+5</f>
        <v>12</v>
      </c>
    </row>
    <row r="2" spans="1:31" s="2035" customFormat="1" ht="18" customHeight="1">
      <c r="A2" s="2095" t="s">
        <v>467</v>
      </c>
      <c r="B2" s="2099">
        <f ca="1">C36</f>
        <v>152497</v>
      </c>
      <c r="C2" s="2098"/>
      <c r="D2" s="2098"/>
      <c r="E2" s="2098"/>
      <c r="F2" s="2098"/>
      <c r="G2" s="2098"/>
      <c r="H2" s="2098"/>
      <c r="I2" s="2098"/>
      <c r="J2" s="2098"/>
      <c r="K2" s="2098"/>
    </row>
    <row r="3" spans="1:31" s="2035" customFormat="1" ht="18" customHeight="1">
      <c r="A3" s="2100" t="s">
        <v>1684</v>
      </c>
      <c r="B3" s="2101">
        <f ca="1">ROUND(B2*10000/IF(B1="",'数据-汇总表'!E3,INDIRECT("'数据-取费表'!K"&amp;$K$1)),0)</f>
        <v>9231</v>
      </c>
      <c r="C3" s="2098"/>
      <c r="D3" s="2098"/>
      <c r="E3" s="2098"/>
      <c r="F3" s="2098"/>
      <c r="G3" s="2098"/>
      <c r="H3" s="2098"/>
      <c r="I3" s="2098"/>
      <c r="J3" s="2098"/>
      <c r="K3" s="2098"/>
    </row>
    <row r="4" spans="1:31" s="2035" customFormat="1" ht="18" customHeight="1">
      <c r="A4" s="423" t="s">
        <v>468</v>
      </c>
      <c r="B4" s="424">
        <f ca="1">ROUND(B2*10000/IF(B1="",'数据-汇总表'!D3,INDIRECT("'数据-取费表'!R"&amp;$K$1)),0)</f>
        <v>21944</v>
      </c>
      <c r="C4" s="425"/>
      <c r="D4" s="419"/>
      <c r="E4" s="419"/>
      <c r="F4" s="419"/>
      <c r="G4" s="419"/>
      <c r="H4" s="419"/>
      <c r="I4" s="419"/>
      <c r="J4" s="419"/>
      <c r="K4" s="419"/>
    </row>
    <row r="5" spans="1:31" s="2035" customFormat="1" ht="18" customHeight="1" thickBot="1">
      <c r="A5" s="426"/>
      <c r="B5" s="427">
        <f ca="1">ROUND(B2/(IF(B1="",'数据-汇总表'!D3,INDIRECT("'数据-取费表'!R"&amp;$K$1))/666.67),0)</f>
        <v>1463</v>
      </c>
      <c r="C5" s="428" t="s">
        <v>469</v>
      </c>
      <c r="D5" s="419"/>
      <c r="E5" s="419"/>
      <c r="F5" s="419"/>
      <c r="G5" s="419"/>
      <c r="H5" s="419"/>
      <c r="I5" s="419"/>
      <c r="J5" s="419"/>
      <c r="K5" s="419"/>
    </row>
    <row r="6" spans="1:31" s="2105" customFormat="1" ht="16.5" customHeight="1">
      <c r="A6" s="2844" t="s">
        <v>1842</v>
      </c>
      <c r="B6" s="2845"/>
      <c r="C6" s="2846">
        <f ca="1">SUM(C10:K10)</f>
        <v>250763</v>
      </c>
      <c r="D6" s="2845"/>
      <c r="E6" s="2845"/>
      <c r="F6" s="2845"/>
      <c r="G6" s="2845"/>
      <c r="H6" s="2845"/>
      <c r="I6" s="2845"/>
      <c r="J6" s="2845"/>
      <c r="K6" s="2847"/>
    </row>
    <row r="7" spans="1:31" s="2107" customFormat="1" ht="15">
      <c r="A7" s="2848" t="s">
        <v>470</v>
      </c>
      <c r="B7" s="2849" t="s">
        <v>471</v>
      </c>
      <c r="C7" s="433" t="s">
        <v>4249</v>
      </c>
      <c r="D7" s="433" t="s">
        <v>4247</v>
      </c>
      <c r="E7" s="433" t="s">
        <v>4054</v>
      </c>
      <c r="F7" s="433" t="s">
        <v>4052</v>
      </c>
      <c r="G7" s="433" t="s">
        <v>2993</v>
      </c>
      <c r="H7" s="433" t="s">
        <v>35</v>
      </c>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1845</v>
      </c>
      <c r="B8" s="258" t="s">
        <v>472</v>
      </c>
      <c r="C8" s="2850">
        <f>'不动产比较法-住宅'!C49</f>
        <v>24897</v>
      </c>
      <c r="D8" s="3253">
        <f>ROUND(C8*1.2,0)</f>
        <v>29876</v>
      </c>
      <c r="E8" s="3253">
        <f>ROUND(C8*0.9,2)</f>
        <v>22407.3</v>
      </c>
      <c r="F8" s="3253">
        <f>ROUND(C8*0.85,0)</f>
        <v>21162</v>
      </c>
      <c r="G8" s="2850">
        <f>典型户型修正!B21</f>
        <v>28287</v>
      </c>
      <c r="H8" s="2850">
        <f ca="1">不动产收益法!B3</f>
        <v>6784</v>
      </c>
      <c r="I8" s="2850"/>
      <c r="J8" s="2850"/>
      <c r="K8" s="2851"/>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1846</v>
      </c>
      <c r="B9" s="258" t="s">
        <v>473</v>
      </c>
      <c r="C9" s="438">
        <f>SUMIF('数据-汇总表'!$C19:$C33,'剩余法-待开发'!C7,'数据-汇总表'!$E19:$E33)</f>
        <v>4603.2199999999975</v>
      </c>
      <c r="D9" s="438">
        <f>SUMIF('数据-汇总表'!$C19:$C33,'剩余法-待开发'!D7,'数据-汇总表'!$E19:$E33)</f>
        <v>55890.069999999992</v>
      </c>
      <c r="E9" s="438">
        <f>SUMIF('数据-汇总表'!$C19:$C33,'剩余法-待开发'!E7,'数据-汇总表'!$E19:$E33)</f>
        <v>932.57000000000244</v>
      </c>
      <c r="F9" s="438">
        <f>SUMIF('数据-汇总表'!$C19:$C33,'剩余法-待开发'!F7,'数据-汇总表'!$E19:$E33)</f>
        <v>3730.9799999999577</v>
      </c>
      <c r="G9" s="438">
        <f>SUMIF('数据-汇总表'!$C19:$C33,'剩余法-待开发'!G7,'数据-汇总表'!$E19:$E33)</f>
        <v>4866.7</v>
      </c>
      <c r="H9" s="438">
        <f>SUMIF('数据-汇总表'!$C19:$C33,'剩余法-待开发'!H7,'数据-汇总表'!$E19:$E33)</f>
        <v>71600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2" t="s">
        <v>1847</v>
      </c>
      <c r="B10" s="2838" t="s">
        <v>474</v>
      </c>
      <c r="C10" s="3043">
        <f>'不动产比较法-住宅'!B2</f>
        <v>11461</v>
      </c>
      <c r="D10" s="3043">
        <f>ROUND(D8*D9/10000,0)</f>
        <v>166977</v>
      </c>
      <c r="E10" s="3043">
        <f t="shared" ref="E10:F10" si="0">ROUND(E8*E9/10000,0)</f>
        <v>2090</v>
      </c>
      <c r="F10" s="3043">
        <f t="shared" si="0"/>
        <v>7895</v>
      </c>
      <c r="G10" s="2853">
        <f>典型户型修正!B20</f>
        <v>13766</v>
      </c>
      <c r="H10" s="2853">
        <f ca="1">不动产收益法!B2</f>
        <v>48574</v>
      </c>
      <c r="I10" s="2853"/>
      <c r="J10" s="2853"/>
      <c r="K10" s="2854"/>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5" t="s">
        <v>1843</v>
      </c>
      <c r="B11" s="2845"/>
      <c r="C11" s="2845"/>
      <c r="D11" s="2845"/>
      <c r="E11" s="2845"/>
      <c r="F11" s="2845"/>
      <c r="G11" s="2845"/>
      <c r="H11" s="2845"/>
      <c r="I11" s="2845"/>
      <c r="J11" s="2845"/>
      <c r="K11" s="2847"/>
    </row>
    <row r="12" spans="1:31" s="2079" customFormat="1" ht="13.5" customHeight="1">
      <c r="A12" s="2856" t="s">
        <v>470</v>
      </c>
      <c r="B12" s="2828" t="s">
        <v>471</v>
      </c>
      <c r="C12" s="2857" t="s">
        <v>475</v>
      </c>
      <c r="D12" s="2824" t="s">
        <v>476</v>
      </c>
      <c r="E12" s="2824" t="s">
        <v>477</v>
      </c>
      <c r="F12" s="2824" t="s">
        <v>478</v>
      </c>
      <c r="G12" s="2828"/>
      <c r="H12" s="2829"/>
      <c r="I12" s="2829"/>
      <c r="J12" s="2829"/>
      <c r="K12" s="2830"/>
    </row>
    <row r="13" spans="1:31" s="2110" customFormat="1" ht="13.5" customHeight="1">
      <c r="A13" s="2858" t="s">
        <v>1848</v>
      </c>
      <c r="B13" s="2859" t="s">
        <v>479</v>
      </c>
      <c r="C13" s="447">
        <f ca="1">IF(B1="",'数据-取费表'!P16,INDIRECT("'数据-取费表'!p"&amp;$K$1)+INDIRECT("'数据-取费表'!t"&amp;$K$1))</f>
        <v>35915</v>
      </c>
      <c r="D13" s="2860"/>
      <c r="E13" s="2861"/>
      <c r="F13" s="2862"/>
      <c r="G13" s="2828"/>
      <c r="H13" s="2829"/>
      <c r="I13" s="2829"/>
      <c r="J13" s="2829"/>
      <c r="K13" s="2830"/>
    </row>
    <row r="14" spans="1:31" s="2110" customFormat="1" ht="13.5" customHeight="1">
      <c r="A14" s="2858" t="s">
        <v>1849</v>
      </c>
      <c r="B14" s="2859" t="s">
        <v>480</v>
      </c>
      <c r="C14" s="53">
        <f ca="1">ROUND(C13*F14,0)</f>
        <v>1077</v>
      </c>
      <c r="D14" s="2860"/>
      <c r="E14" s="2861"/>
      <c r="F14" s="2863">
        <f>'数据-取费表'!B33</f>
        <v>0.03</v>
      </c>
      <c r="G14" s="2828" t="s">
        <v>481</v>
      </c>
      <c r="H14" s="2829"/>
      <c r="I14" s="2829"/>
      <c r="J14" s="2829"/>
      <c r="K14" s="2830"/>
    </row>
    <row r="15" spans="1:31" s="2110" customFormat="1" ht="13.5" customHeight="1">
      <c r="A15" s="2858" t="s">
        <v>1850</v>
      </c>
      <c r="B15" s="2859" t="s">
        <v>482</v>
      </c>
      <c r="C15" s="53">
        <f ca="1">ROUND(IF(B1="",SUMIF('数据-取费表'!C:C,"住宅",'数据-取费表'!P:P)*F15,IF(INDIRECT("'数据-取费表'!c"&amp;$K$1)="住宅",INDIRECT("'数据-取费表'!P"&amp;$K$1)*F15,0)),0)</f>
        <v>648</v>
      </c>
      <c r="D15" s="2860"/>
      <c r="E15" s="2861"/>
      <c r="F15" s="2863">
        <f>'数据-取费表'!B34</f>
        <v>0.03</v>
      </c>
      <c r="G15" s="2828" t="s">
        <v>483</v>
      </c>
      <c r="H15" s="2829"/>
      <c r="I15" s="2829"/>
      <c r="J15" s="2829"/>
      <c r="K15" s="2830"/>
    </row>
    <row r="16" spans="1:31" s="2111" customFormat="1" ht="13.5" customHeight="1">
      <c r="A16" s="2858" t="s">
        <v>1851</v>
      </c>
      <c r="B16" s="2859" t="s">
        <v>484</v>
      </c>
      <c r="C16" s="53">
        <f ca="1">ROUND(D16*E16/10000,0)</f>
        <v>2478</v>
      </c>
      <c r="D16" s="2860">
        <f ca="1">IF(B1="",'数据-汇总表'!E3,INDIRECT("'数据-取费表'!K"&amp;$K$1)+INDIRECT("'数据-取费表'!S"&amp;$K$1))</f>
        <v>165200.35999999996</v>
      </c>
      <c r="E16" s="53">
        <f>'数据-取费表'!B35</f>
        <v>150</v>
      </c>
      <c r="F16" s="2863"/>
      <c r="G16" s="2828"/>
      <c r="H16" s="2829"/>
      <c r="I16" s="2829"/>
      <c r="J16" s="2829"/>
      <c r="K16" s="2830"/>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58" t="s">
        <v>1852</v>
      </c>
      <c r="B17" s="2859" t="s">
        <v>485</v>
      </c>
      <c r="C17" s="2864">
        <f ca="1">ROUND(C13*F17,0)</f>
        <v>539</v>
      </c>
      <c r="D17" s="472"/>
      <c r="E17" s="2864"/>
      <c r="F17" s="2865">
        <f>'数据-取费表'!B36</f>
        <v>1.4999999999999999E-2</v>
      </c>
      <c r="G17" s="258" t="s">
        <v>486</v>
      </c>
      <c r="H17" s="2831"/>
      <c r="I17" s="2831"/>
      <c r="J17" s="2831"/>
      <c r="K17" s="276"/>
    </row>
    <row r="18" spans="1:14" s="2110" customFormat="1" ht="13.5" customHeight="1">
      <c r="A18" s="2866" t="s">
        <v>1853</v>
      </c>
      <c r="B18" s="2867" t="s">
        <v>487</v>
      </c>
      <c r="C18" s="2868">
        <f ca="1">SUM(C13:C17)</f>
        <v>40657</v>
      </c>
      <c r="D18" s="2869"/>
      <c r="E18" s="465"/>
      <c r="F18" s="465"/>
      <c r="G18" s="2832" t="s">
        <v>2431</v>
      </c>
      <c r="H18" s="2833"/>
      <c r="I18" s="2833"/>
      <c r="J18" s="2833"/>
      <c r="K18" s="2834"/>
    </row>
    <row r="19" spans="1:14" s="2110" customFormat="1" ht="13.5" customHeight="1">
      <c r="A19" s="2866" t="s">
        <v>1854</v>
      </c>
      <c r="B19" s="2867" t="s">
        <v>488</v>
      </c>
      <c r="C19" s="2824">
        <f ca="1">ROUND(D19*E19/10000,0)</f>
        <v>2478</v>
      </c>
      <c r="D19" s="2870">
        <f ca="1">D16</f>
        <v>165200.35999999996</v>
      </c>
      <c r="E19" s="3254">
        <f>'数据-取费表'!B32</f>
        <v>150</v>
      </c>
      <c r="F19" s="465"/>
      <c r="G19" s="2828" t="s">
        <v>489</v>
      </c>
      <c r="H19" s="2829"/>
      <c r="I19" s="2833"/>
      <c r="J19" s="2833"/>
      <c r="K19" s="2834"/>
    </row>
    <row r="20" spans="1:14" s="2110" customFormat="1" ht="13.5" customHeight="1">
      <c r="A20" s="2866" t="s">
        <v>1855</v>
      </c>
      <c r="B20" s="2867" t="s">
        <v>490</v>
      </c>
      <c r="C20" s="2824">
        <f ca="1">C21+C22-IF(B1="",'数据-取费表'!B29,IF(G20="已全部缴纳",C21+C22,H20))</f>
        <v>-584</v>
      </c>
      <c r="D20" s="2870"/>
      <c r="E20" s="2824"/>
      <c r="F20" s="2871"/>
      <c r="G20" s="3100" t="s">
        <v>4273</v>
      </c>
      <c r="H20" s="2826"/>
      <c r="I20" s="2827" t="s">
        <v>2652</v>
      </c>
      <c r="J20" s="2833"/>
      <c r="K20" s="2834"/>
    </row>
    <row r="21" spans="1:14" s="2110" customFormat="1" ht="13.5" customHeight="1">
      <c r="A21" s="2858" t="s">
        <v>1856</v>
      </c>
      <c r="B21" s="2859" t="s">
        <v>491</v>
      </c>
      <c r="C21" s="53">
        <f ca="1">ROUND(D21*E21/10000,0)</f>
        <v>1890</v>
      </c>
      <c r="D21" s="2860">
        <f ca="1">IF(B1="",'数据-汇总表'!E5,IF(INDIRECT("'数据-取费表'!c"&amp;$K$1)="住宅",INDIRECT("'数据-取费表'!k"&amp;$K$1),0))</f>
        <v>65156.839999999946</v>
      </c>
      <c r="E21" s="53">
        <f>'数据-取费表'!B27</f>
        <v>290</v>
      </c>
      <c r="F21" s="2863"/>
      <c r="G21" s="26"/>
      <c r="H21" s="51"/>
      <c r="I21" s="51"/>
      <c r="J21" s="51"/>
      <c r="K21" s="2835"/>
    </row>
    <row r="22" spans="1:14" s="2110" customFormat="1" ht="13.5" customHeight="1">
      <c r="A22" s="2858" t="s">
        <v>1857</v>
      </c>
      <c r="B22" s="2859" t="s">
        <v>492</v>
      </c>
      <c r="C22" s="53">
        <f ca="1">ROUND(D22*E22/10000,0)</f>
        <v>3201</v>
      </c>
      <c r="D22" s="2860">
        <f ca="1">IF(B1="",'数据-汇总表'!E6,IF(INDIRECT("'数据-取费表'!c"&amp;$K$1)="住宅",INDIRECT("'数据-取费表'!s"&amp;$K$1),INDIRECT("'数据-取费表'!k"&amp;$K$1)+INDIRECT("'数据-取费表'!s"&amp;$K$1)))</f>
        <v>100043.52000000002</v>
      </c>
      <c r="E22" s="53">
        <f>'数据-取费表'!B28</f>
        <v>320</v>
      </c>
      <c r="F22" s="2863"/>
      <c r="G22" s="26"/>
      <c r="H22" s="51"/>
      <c r="I22" s="51"/>
      <c r="J22" s="51"/>
      <c r="K22" s="2835"/>
    </row>
    <row r="23" spans="1:14" s="2110" customFormat="1" ht="13.5" customHeight="1">
      <c r="A23" s="2866" t="s">
        <v>1858</v>
      </c>
      <c r="B23" s="3049" t="s">
        <v>2835</v>
      </c>
      <c r="C23" s="2868">
        <f ca="1">ROUND((C18+C19+C20)*F23,0)</f>
        <v>851</v>
      </c>
      <c r="D23" s="465"/>
      <c r="E23" s="465"/>
      <c r="F23" s="2872">
        <f>'数据-取费表'!B37</f>
        <v>0.02</v>
      </c>
      <c r="G23" s="2828" t="s">
        <v>2432</v>
      </c>
      <c r="H23" s="2829"/>
      <c r="I23" s="2829"/>
      <c r="J23" s="2829"/>
      <c r="K23" s="2830"/>
      <c r="L23" s="2112"/>
      <c r="M23" s="2112"/>
      <c r="N23" s="2112"/>
    </row>
    <row r="24" spans="1:14" s="2110" customFormat="1" ht="13.5" customHeight="1">
      <c r="A24" s="2866" t="s">
        <v>1859</v>
      </c>
      <c r="B24" s="3049" t="s">
        <v>2838</v>
      </c>
      <c r="C24" s="2868">
        <f ca="1">ROUND(C6*F24,0)</f>
        <v>5015</v>
      </c>
      <c r="D24" s="472"/>
      <c r="E24" s="470"/>
      <c r="F24" s="2872">
        <f>'数据-取费表'!B38</f>
        <v>0.02</v>
      </c>
      <c r="G24" s="2837" t="s">
        <v>499</v>
      </c>
      <c r="H24" s="2831"/>
      <c r="I24" s="2831"/>
      <c r="J24" s="2831"/>
      <c r="K24" s="276"/>
      <c r="L24" s="2112"/>
      <c r="M24" s="2112"/>
      <c r="N24" s="2112"/>
    </row>
    <row r="25" spans="1:14" s="2113" customFormat="1" ht="13.5" customHeight="1">
      <c r="A25" s="2866" t="s">
        <v>1860</v>
      </c>
      <c r="B25" s="3049" t="s">
        <v>2836</v>
      </c>
      <c r="C25" s="464">
        <f>ROUND(F25/(1+'数据-取费表'!C42),4)</f>
        <v>2.9000000000000001E-2</v>
      </c>
      <c r="D25" s="459" t="s">
        <v>2830</v>
      </c>
      <c r="E25" s="466"/>
      <c r="F25" s="2872">
        <f>'数据-取费表'!B48+'数据-取费表'!B49</f>
        <v>3.0499999999999999E-2</v>
      </c>
      <c r="G25" s="2836" t="s">
        <v>2289</v>
      </c>
      <c r="H25" s="2829"/>
      <c r="I25" s="2829"/>
      <c r="J25" s="2829"/>
      <c r="K25" s="2830"/>
    </row>
    <row r="26" spans="1:14" s="2112" customFormat="1" ht="13.5" customHeight="1">
      <c r="A26" s="2866" t="s">
        <v>1861</v>
      </c>
      <c r="B26" s="3050" t="s">
        <v>2837</v>
      </c>
      <c r="C26" s="2873">
        <f ca="1">C28</f>
        <v>2300</v>
      </c>
      <c r="D26" s="464">
        <f ca="1">C27</f>
        <v>0.10009999999999999</v>
      </c>
      <c r="E26" s="466" t="s">
        <v>495</v>
      </c>
      <c r="F26" s="468">
        <f ca="1">'数据-取费表'!B40</f>
        <v>4.7500000000000001E-2</v>
      </c>
      <c r="G26" s="2588" t="str">
        <f>IF('数据-取费表'!B22&lt;=1,"单利计息。","复利计息。")&amp;"后续开发成本、管理费用及销售费用产生的利息。"</f>
        <v>复利计息。后续开发成本、管理费用及销售费用产生的利息。</v>
      </c>
      <c r="H26" s="2833"/>
      <c r="I26" s="2833"/>
      <c r="J26" s="2833"/>
      <c r="K26" s="2834"/>
    </row>
    <row r="27" spans="1:14" s="2114" customFormat="1" ht="13.5" customHeight="1">
      <c r="A27" s="800" t="s">
        <v>1856</v>
      </c>
      <c r="B27" s="2874" t="s">
        <v>496</v>
      </c>
      <c r="C27" s="2875">
        <f ca="1">ROUND(IF('数据-取费表'!B22&lt;=1,(1+C25)*F26*'数据-取费表'!B24,(1+C25)*(POWER((1+F26),'数据-取费表'!B24)-1)),4)</f>
        <v>0.10009999999999999</v>
      </c>
      <c r="D27" s="469"/>
      <c r="E27" s="470"/>
      <c r="F27" s="471"/>
      <c r="G27" s="2588" t="str">
        <f>IF('数据-取费表'!B22&lt;=1,"（1+取得税费率/(1+5%)）×年利率×建设期","（1+取得税费率）/(1+5%)×((1+年利率)^建设期-1)")</f>
        <v>（1+取得税费率）/(1+5%)×((1+年利率)^建设期-1)</v>
      </c>
      <c r="H27" s="2831"/>
      <c r="I27" s="2831"/>
      <c r="J27" s="2831"/>
      <c r="K27" s="276"/>
    </row>
    <row r="28" spans="1:14" s="2114" customFormat="1" ht="13.5" customHeight="1">
      <c r="A28" s="800" t="s">
        <v>1857</v>
      </c>
      <c r="B28" s="2874" t="s">
        <v>2839</v>
      </c>
      <c r="C28" s="2876">
        <f ca="1">ROUND(IF('数据-取费表'!B22&lt;=1,(C18+C19+C20+C23+C24)*F26*'数据-取费表'!B24/2,(C18+C19+C20+C23+C24)*(POWER((1+F26),'数据-取费表'!B24/2)-1)),0)</f>
        <v>2300</v>
      </c>
      <c r="D28" s="469"/>
      <c r="E28" s="470"/>
      <c r="F28" s="471"/>
      <c r="G28" s="2588" t="str">
        <f>IF('数据-取费表'!B22&lt;=1,"（1）-（4）项×年利率×建设期÷2","（1）-（4）项×((1+年利率)^(建设期÷2)-1)")</f>
        <v>（1）-（4）项×((1+年利率)^(建设期÷2)-1)</v>
      </c>
      <c r="H28" s="2831"/>
      <c r="I28" s="2831"/>
      <c r="J28" s="2831"/>
      <c r="K28" s="276"/>
    </row>
    <row r="29" spans="1:14" s="2114" customFormat="1" ht="13.5" customHeight="1">
      <c r="A29" s="2877" t="s">
        <v>1862</v>
      </c>
      <c r="B29" s="2867" t="s">
        <v>497</v>
      </c>
      <c r="C29" s="2868">
        <f ca="1">ROUND(C6*F29/(1+'数据-取费表'!C42),0)</f>
        <v>13493</v>
      </c>
      <c r="D29" s="465"/>
      <c r="E29" s="465"/>
      <c r="F29" s="3051">
        <f>'数据-取费表'!B41</f>
        <v>5.6500000000000002E-2</v>
      </c>
      <c r="G29" s="2837" t="s">
        <v>498</v>
      </c>
      <c r="H29" s="2829"/>
      <c r="I29" s="2829"/>
      <c r="J29" s="2829"/>
      <c r="K29" s="2830"/>
    </row>
    <row r="30" spans="1:14" s="2115" customFormat="1" ht="13.5" customHeight="1">
      <c r="A30" s="1629" t="s">
        <v>1863</v>
      </c>
      <c r="B30" s="2878" t="s">
        <v>500</v>
      </c>
      <c r="C30" s="2873">
        <f ca="1">C31</f>
        <v>64210</v>
      </c>
      <c r="D30" s="474">
        <f ca="1">C32</f>
        <v>0.12909999999999999</v>
      </c>
      <c r="E30" s="466" t="s">
        <v>495</v>
      </c>
      <c r="F30" s="468"/>
      <c r="G30" s="2836" t="s">
        <v>2969</v>
      </c>
      <c r="H30" s="2829"/>
      <c r="I30" s="2829"/>
      <c r="J30" s="2829"/>
      <c r="K30" s="2830"/>
    </row>
    <row r="31" spans="1:14" s="2114" customFormat="1" ht="13.5" customHeight="1">
      <c r="A31" s="800" t="s">
        <v>1856</v>
      </c>
      <c r="B31" s="2874"/>
      <c r="C31" s="447">
        <f ca="1">C18+C19+C20+C23+C24+C26+C29</f>
        <v>64210</v>
      </c>
      <c r="D31" s="469"/>
      <c r="E31" s="470"/>
      <c r="F31" s="471"/>
      <c r="G31" s="258"/>
      <c r="H31" s="2831"/>
      <c r="I31" s="2831"/>
      <c r="J31" s="2831"/>
      <c r="K31" s="276"/>
    </row>
    <row r="32" spans="1:14" s="2114" customFormat="1" ht="13.5" customHeight="1">
      <c r="A32" s="800" t="s">
        <v>1857</v>
      </c>
      <c r="B32" s="2874"/>
      <c r="C32" s="53">
        <f ca="1">ROUND(C25+D26,4)</f>
        <v>0.12909999999999999</v>
      </c>
      <c r="D32" s="469"/>
      <c r="E32" s="470"/>
      <c r="F32" s="471"/>
      <c r="G32" s="258"/>
      <c r="H32" s="2831"/>
      <c r="I32" s="2831"/>
      <c r="J32" s="2831"/>
      <c r="K32" s="276"/>
    </row>
    <row r="33" spans="1:11" s="2116" customFormat="1" ht="13.5" customHeight="1">
      <c r="A33" s="3048" t="s">
        <v>2834</v>
      </c>
      <c r="B33" s="3046" t="s">
        <v>2832</v>
      </c>
      <c r="C33" s="475">
        <f ca="1">C35</f>
        <v>3389</v>
      </c>
      <c r="D33" s="464">
        <f ca="1">C34</f>
        <v>7.1999999999999995E-2</v>
      </c>
      <c r="E33" s="466" t="s">
        <v>495</v>
      </c>
      <c r="F33" s="476">
        <f ca="1">IF(B1="",'数据-取费表'!Q16,INDIRECT("'数据-取费表'!q"&amp;$K$1))</f>
        <v>7.0000000000000007E-2</v>
      </c>
      <c r="G33" s="2832"/>
      <c r="H33" s="2833"/>
      <c r="I33" s="2833"/>
      <c r="J33" s="2833"/>
      <c r="K33" s="2834"/>
    </row>
    <row r="34" spans="1:11" s="2117" customFormat="1" ht="13.5" customHeight="1">
      <c r="A34" s="372" t="s">
        <v>1856</v>
      </c>
      <c r="B34" s="2879" t="s">
        <v>501</v>
      </c>
      <c r="C34" s="469">
        <f ca="1">ROUND((1+C25)*F33,4)</f>
        <v>7.1999999999999995E-2</v>
      </c>
      <c r="D34" s="469"/>
      <c r="E34" s="470"/>
      <c r="F34" s="477"/>
      <c r="G34" s="258" t="s">
        <v>2290</v>
      </c>
      <c r="H34" s="2831"/>
      <c r="I34" s="2831"/>
      <c r="J34" s="2831"/>
      <c r="K34" s="276"/>
    </row>
    <row r="35" spans="1:11" s="2117" customFormat="1" ht="13.5" customHeight="1" thickBot="1">
      <c r="A35" s="1630" t="s">
        <v>1857</v>
      </c>
      <c r="B35" s="3047" t="s">
        <v>2840</v>
      </c>
      <c r="C35" s="1622">
        <f ca="1">ROUND((C18+C19+C20+C23+C24)*F33,0)</f>
        <v>3389</v>
      </c>
      <c r="D35" s="1623"/>
      <c r="E35" s="2880"/>
      <c r="F35" s="1624"/>
      <c r="G35" s="2838"/>
      <c r="H35" s="2839"/>
      <c r="I35" s="2839"/>
      <c r="J35" s="2839"/>
      <c r="K35" s="2840"/>
    </row>
    <row r="36" spans="1:11" s="2079" customFormat="1" ht="13.5" customHeight="1" thickBot="1">
      <c r="A36" s="281" t="s">
        <v>1844</v>
      </c>
      <c r="B36" s="2842"/>
      <c r="C36" s="2881">
        <f ca="1">ROUND((C6-C30-C33)/(1+D30+D33),0)</f>
        <v>152497</v>
      </c>
      <c r="D36" s="2842"/>
      <c r="E36" s="2842"/>
      <c r="F36" s="2842"/>
      <c r="G36" s="2841" t="s">
        <v>2841</v>
      </c>
      <c r="H36" s="2842"/>
      <c r="I36" s="2842"/>
      <c r="J36" s="2842"/>
      <c r="K36" s="284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95" zoomScaleNormal="95" zoomScaleSheetLayoutView="95" workbookViewId="0">
      <selection activeCell="G33" sqref="G33"/>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9" t="s">
        <v>516</v>
      </c>
      <c r="B1" s="500"/>
      <c r="C1" s="501" t="s">
        <v>517</v>
      </c>
      <c r="D1" s="502" t="s">
        <v>518</v>
      </c>
      <c r="E1" s="503"/>
      <c r="F1" s="425"/>
      <c r="G1" s="503"/>
      <c r="H1" s="503"/>
      <c r="I1" s="503"/>
      <c r="J1" s="503"/>
      <c r="K1" s="504"/>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20" t="s">
        <v>467</v>
      </c>
      <c r="B2" s="505">
        <f>F68</f>
        <v>137407</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c r="AD2" s="1330"/>
    </row>
    <row r="3" spans="1:30" s="1331" customFormat="1" ht="28.5" customHeight="1">
      <c r="A3" s="1373" t="s">
        <v>1684</v>
      </c>
      <c r="B3" s="507">
        <f>ROUND(B2*10000/'数据-汇总表'!E3,0)</f>
        <v>8318</v>
      </c>
      <c r="C3" s="2055"/>
      <c r="D3" s="2586"/>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30" s="1331" customFormat="1" ht="28.5" customHeight="1">
      <c r="A4" s="508" t="s">
        <v>520</v>
      </c>
      <c r="B4" s="424">
        <f>IF(B48="单位面积地价",C50,ROUND(B2*10000/'数据-汇总表'!D3,0))</f>
        <v>19773</v>
      </c>
      <c r="C4" s="2055"/>
      <c r="D4" s="2586"/>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30" s="1331" customFormat="1" ht="28.5" customHeight="1" thickBot="1">
      <c r="A5" s="426"/>
      <c r="B5" s="427">
        <f>ROUND(B2/('数据-汇总表'!D3/666.67),0)</f>
        <v>1318</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58"/>
      <c r="AC5" s="425"/>
    </row>
    <row r="6" spans="1:30" ht="20.25">
      <c r="A6" s="509" t="s">
        <v>521</v>
      </c>
      <c r="B6" s="510"/>
      <c r="C6" s="3494" t="s">
        <v>522</v>
      </c>
      <c r="D6" s="3495"/>
      <c r="E6" s="3494" t="s">
        <v>523</v>
      </c>
      <c r="F6" s="3495"/>
      <c r="G6" s="3494" t="s">
        <v>524</v>
      </c>
      <c r="H6" s="3495"/>
      <c r="I6" s="3494" t="s">
        <v>525</v>
      </c>
      <c r="J6" s="3495"/>
      <c r="K6" s="511" t="s">
        <v>526</v>
      </c>
      <c r="L6" s="2127"/>
      <c r="M6" s="2126"/>
      <c r="N6" s="2126"/>
      <c r="O6" s="2128"/>
      <c r="P6" s="3496" t="s">
        <v>527</v>
      </c>
      <c r="Q6" s="3497"/>
      <c r="R6" s="3482" t="s">
        <v>523</v>
      </c>
      <c r="S6" s="3483"/>
      <c r="T6" s="3482" t="s">
        <v>524</v>
      </c>
      <c r="U6" s="3483"/>
      <c r="V6" s="3502" t="s">
        <v>525</v>
      </c>
      <c r="W6" s="3502"/>
      <c r="X6" s="1561"/>
      <c r="Y6" s="3482" t="s">
        <v>527</v>
      </c>
      <c r="Z6" s="3483"/>
      <c r="AA6" s="3477" t="s">
        <v>523</v>
      </c>
      <c r="AB6" s="3478" t="s">
        <v>524</v>
      </c>
      <c r="AC6" s="3477" t="s">
        <v>525</v>
      </c>
    </row>
    <row r="7" spans="1:30" ht="32.25" customHeight="1">
      <c r="A7" s="512"/>
      <c r="B7" s="513"/>
      <c r="C7" s="3505" t="s">
        <v>2924</v>
      </c>
      <c r="D7" s="3506"/>
      <c r="E7" s="3505" t="str">
        <f>土地案例!A3</f>
        <v>北辰区北辰道与辰永路交口东南侧</v>
      </c>
      <c r="F7" s="3506"/>
      <c r="G7" s="3505" t="str">
        <f>土地案例!A5</f>
        <v>北辰区北辰道与辰永路交口西南侧</v>
      </c>
      <c r="H7" s="3506"/>
      <c r="I7" s="3505" t="str">
        <f>土地案例!A8</f>
        <v>北辰区龙门东道与朝阳路交口西南侧</v>
      </c>
      <c r="J7" s="3506"/>
      <c r="K7" s="511"/>
      <c r="L7" s="2127"/>
      <c r="M7" s="2126"/>
      <c r="N7" s="2126"/>
      <c r="O7" s="2128"/>
      <c r="P7" s="3498"/>
      <c r="Q7" s="3499"/>
      <c r="R7" s="3484"/>
      <c r="S7" s="3485"/>
      <c r="T7" s="3484"/>
      <c r="U7" s="3485"/>
      <c r="V7" s="3502"/>
      <c r="W7" s="3502"/>
      <c r="X7" s="1561"/>
      <c r="Y7" s="3484"/>
      <c r="Z7" s="3485"/>
      <c r="AA7" s="3478"/>
      <c r="AB7" s="3478"/>
      <c r="AC7" s="3478"/>
    </row>
    <row r="8" spans="1:30" ht="21" thickBot="1">
      <c r="A8" s="512"/>
      <c r="B8" s="513"/>
      <c r="C8" s="3507" t="s">
        <v>2928</v>
      </c>
      <c r="D8" s="3508"/>
      <c r="E8" s="3507" t="s">
        <v>2928</v>
      </c>
      <c r="F8" s="3508"/>
      <c r="G8" s="3503" t="s">
        <v>2928</v>
      </c>
      <c r="H8" s="3504"/>
      <c r="I8" s="3503" t="s">
        <v>2928</v>
      </c>
      <c r="J8" s="3504"/>
      <c r="K8" s="511" t="s">
        <v>528</v>
      </c>
      <c r="L8" s="2127"/>
      <c r="M8" s="2126"/>
      <c r="N8" s="2126"/>
      <c r="O8" s="2128"/>
      <c r="P8" s="3500"/>
      <c r="Q8" s="3501"/>
      <c r="R8" s="3484"/>
      <c r="S8" s="3485"/>
      <c r="T8" s="3486"/>
      <c r="U8" s="3487"/>
      <c r="V8" s="3502"/>
      <c r="W8" s="3502"/>
      <c r="X8" s="1561"/>
      <c r="Y8" s="3486"/>
      <c r="Z8" s="3487"/>
      <c r="AA8" s="3479"/>
      <c r="AB8" s="3479"/>
      <c r="AC8" s="3479"/>
    </row>
    <row r="9" spans="1:30" s="1215" customFormat="1" ht="21" thickBot="1">
      <c r="A9" s="2928"/>
      <c r="B9" s="2935" t="s">
        <v>529</v>
      </c>
      <c r="C9" s="2927">
        <f>'数据-取费表'!B2</f>
        <v>43313</v>
      </c>
      <c r="D9" s="517">
        <v>100</v>
      </c>
      <c r="E9" s="518" t="str">
        <f>土地案例!K3</f>
        <v>2018-02-07</v>
      </c>
      <c r="F9" s="519">
        <f>SUMIF(72:72,YEAR(E9)&amp;"-"&amp;INT((MONTH(E9)+2)/3),73:73)</f>
        <v>96</v>
      </c>
      <c r="G9" s="520" t="str">
        <f>土地案例!K5</f>
        <v>2018-01-31</v>
      </c>
      <c r="H9" s="517">
        <f>SUMIF(72:72,YEAR(G9)&amp;"-"&amp;INT((MONTH(G9)+2)/3),73:73)</f>
        <v>96</v>
      </c>
      <c r="I9" s="520" t="str">
        <f>土地案例!K8</f>
        <v>2017-03-09</v>
      </c>
      <c r="J9" s="517">
        <f>SUMIF(72:72,YEAR(I9)&amp;"-"&amp;INT((MONTH(I9)+2)/3),73:73)</f>
        <v>88</v>
      </c>
      <c r="K9" s="521"/>
      <c r="L9" s="2129"/>
      <c r="M9" s="2126"/>
      <c r="N9" s="2126"/>
      <c r="O9" s="2130"/>
      <c r="P9" s="3480" t="s">
        <v>530</v>
      </c>
      <c r="Q9" s="3489"/>
      <c r="R9" s="1562" t="s">
        <v>8</v>
      </c>
      <c r="S9" s="1563">
        <f t="shared" ref="S9:S17" si="0">F9</f>
        <v>96</v>
      </c>
      <c r="T9" s="1562" t="s">
        <v>8</v>
      </c>
      <c r="U9" s="1563">
        <f t="shared" ref="U9:U17" si="1">H9</f>
        <v>96</v>
      </c>
      <c r="V9" s="1562" t="s">
        <v>8</v>
      </c>
      <c r="W9" s="1563">
        <f t="shared" ref="W9:W17" si="2">J9</f>
        <v>88</v>
      </c>
      <c r="X9" s="1564"/>
      <c r="Y9" s="3480" t="s">
        <v>530</v>
      </c>
      <c r="Z9" s="3481"/>
      <c r="AA9" s="1565">
        <f>D9/F9</f>
        <v>1.0416666666666667</v>
      </c>
      <c r="AB9" s="1565">
        <f>D9/H9</f>
        <v>1.0416666666666667</v>
      </c>
      <c r="AC9" s="1565">
        <f>D9/J9</f>
        <v>1.1363636363636365</v>
      </c>
    </row>
    <row r="10" spans="1:30" s="1215" customFormat="1" ht="21" thickBot="1">
      <c r="A10" s="2929"/>
      <c r="B10" s="2936" t="s">
        <v>531</v>
      </c>
      <c r="C10" s="853" t="s">
        <v>532</v>
      </c>
      <c r="D10" s="517">
        <v>100</v>
      </c>
      <c r="E10" s="522" t="s">
        <v>4215</v>
      </c>
      <c r="F10" s="519">
        <f>SUMIF(75:75,E10,76:76)-SUMIF(75:75,C10,76:76)+100</f>
        <v>100</v>
      </c>
      <c r="G10" s="522" t="s">
        <v>4215</v>
      </c>
      <c r="H10" s="517">
        <f>SUMIF(75:75,G10,76:76)-SUMIF(75:75,C10,76:76)+100</f>
        <v>100</v>
      </c>
      <c r="I10" s="522" t="s">
        <v>4215</v>
      </c>
      <c r="J10" s="517">
        <f>SUMIF(75:75,I10,76:76)-SUMIF(75:75,C10,76:76)+100</f>
        <v>100</v>
      </c>
      <c r="K10" s="521"/>
      <c r="L10" s="2129"/>
      <c r="M10" s="2126"/>
      <c r="N10" s="2126"/>
      <c r="O10" s="2130"/>
      <c r="P10" s="3480" t="s">
        <v>533</v>
      </c>
      <c r="Q10" s="3481"/>
      <c r="R10" s="1562" t="s">
        <v>8</v>
      </c>
      <c r="S10" s="1563">
        <f t="shared" si="0"/>
        <v>100</v>
      </c>
      <c r="T10" s="1562" t="s">
        <v>8</v>
      </c>
      <c r="U10" s="1563">
        <f t="shared" si="1"/>
        <v>100</v>
      </c>
      <c r="V10" s="1562" t="s">
        <v>8</v>
      </c>
      <c r="W10" s="1563">
        <f t="shared" si="2"/>
        <v>100</v>
      </c>
      <c r="X10" s="1564"/>
      <c r="Y10" s="3480" t="s">
        <v>533</v>
      </c>
      <c r="Z10" s="3481"/>
      <c r="AA10" s="1565">
        <f t="shared" ref="AA10:AA47" si="3">D10/F10</f>
        <v>1</v>
      </c>
      <c r="AB10" s="1565">
        <f t="shared" ref="AB10:AB47" si="4">D10/H10</f>
        <v>1</v>
      </c>
      <c r="AC10" s="1565">
        <f t="shared" ref="AC10:AC47" si="5">D10/J10</f>
        <v>1</v>
      </c>
    </row>
    <row r="11" spans="1:30" s="1215" customFormat="1" ht="20.25">
      <c r="A11" s="2930"/>
      <c r="B11" s="2937" t="s">
        <v>2757</v>
      </c>
      <c r="C11" s="2924" t="s">
        <v>4069</v>
      </c>
      <c r="D11" s="251">
        <v>100</v>
      </c>
      <c r="E11" s="523" t="s">
        <v>4069</v>
      </c>
      <c r="F11" s="251">
        <f>SUMIF(77:77,E11,78:78)-SUMIF(77:77,C11,78:78)+100</f>
        <v>100</v>
      </c>
      <c r="G11" s="523" t="s">
        <v>4069</v>
      </c>
      <c r="H11" s="251">
        <f>SUMIF(77:77,G11,78:78)-SUMIF(77:77,C11,78:78)+100</f>
        <v>100</v>
      </c>
      <c r="I11" s="523" t="s">
        <v>4069</v>
      </c>
      <c r="J11" s="251">
        <f>SUMIF(77:77,I11,78:78)-SUMIF(77:77,C11,78:78)+100</f>
        <v>100</v>
      </c>
      <c r="K11" s="521"/>
      <c r="L11" s="2129"/>
      <c r="M11" s="2126"/>
      <c r="N11" s="2126"/>
      <c r="O11" s="2131"/>
      <c r="P11" s="3488" t="s">
        <v>535</v>
      </c>
      <c r="Q11" s="1146" t="str">
        <f t="shared" ref="Q11:Q17" si="6">B11</f>
        <v>用途</v>
      </c>
      <c r="R11" s="1562" t="s">
        <v>8</v>
      </c>
      <c r="S11" s="1563">
        <f t="shared" si="0"/>
        <v>100</v>
      </c>
      <c r="T11" s="1562" t="s">
        <v>8</v>
      </c>
      <c r="U11" s="1563">
        <f t="shared" si="1"/>
        <v>100</v>
      </c>
      <c r="V11" s="1562" t="s">
        <v>8</v>
      </c>
      <c r="W11" s="1563">
        <f t="shared" si="2"/>
        <v>100</v>
      </c>
      <c r="X11" s="1564"/>
      <c r="Y11" s="3445" t="s">
        <v>536</v>
      </c>
      <c r="Z11" s="1145" t="str">
        <f t="shared" ref="Z11:Z17" si="7">Q11</f>
        <v>用途</v>
      </c>
      <c r="AA11" s="1565">
        <f t="shared" si="3"/>
        <v>1</v>
      </c>
      <c r="AB11" s="1565">
        <f t="shared" si="4"/>
        <v>1</v>
      </c>
      <c r="AC11" s="1565">
        <f t="shared" si="5"/>
        <v>1</v>
      </c>
    </row>
    <row r="12" spans="1:30" s="1333" customFormat="1" ht="42.75">
      <c r="A12" s="2931"/>
      <c r="B12" s="2936" t="s">
        <v>2758</v>
      </c>
      <c r="C12" s="907" t="str">
        <f>项目基本情况!D20</f>
        <v>住宅68.4年、商业38.4年、地下车库48.4年</v>
      </c>
      <c r="D12" s="252">
        <v>100</v>
      </c>
      <c r="E12" s="526" t="s">
        <v>4216</v>
      </c>
      <c r="F12" s="252">
        <f>ROUND(100/'数据-取费表'!G16,0)</f>
        <v>101</v>
      </c>
      <c r="G12" s="526" t="s">
        <v>4216</v>
      </c>
      <c r="H12" s="252">
        <f>ROUND(100/'数据-取费表'!G16,0)</f>
        <v>101</v>
      </c>
      <c r="I12" s="526" t="s">
        <v>4216</v>
      </c>
      <c r="J12" s="252">
        <f>ROUND(100/'数据-取费表'!G16,0)</f>
        <v>101</v>
      </c>
      <c r="K12" s="528"/>
      <c r="L12" s="2132"/>
      <c r="M12" s="2126"/>
      <c r="N12" s="2126"/>
      <c r="O12" s="2133"/>
      <c r="P12" s="3488"/>
      <c r="Q12" s="1146" t="str">
        <f t="shared" si="6"/>
        <v>土地使用年限（年）</v>
      </c>
      <c r="R12" s="1562" t="s">
        <v>8</v>
      </c>
      <c r="S12" s="1563">
        <f t="shared" si="0"/>
        <v>101</v>
      </c>
      <c r="T12" s="1562" t="s">
        <v>8</v>
      </c>
      <c r="U12" s="1563">
        <f t="shared" si="1"/>
        <v>101</v>
      </c>
      <c r="V12" s="1562" t="s">
        <v>8</v>
      </c>
      <c r="W12" s="1563">
        <f t="shared" si="2"/>
        <v>101</v>
      </c>
      <c r="X12" s="1564"/>
      <c r="Y12" s="3445"/>
      <c r="Z12" s="1145" t="str">
        <f t="shared" si="7"/>
        <v>土地使用年限（年）</v>
      </c>
      <c r="AA12" s="1565">
        <f t="shared" si="3"/>
        <v>0.99009900990099009</v>
      </c>
      <c r="AB12" s="1565">
        <f t="shared" si="4"/>
        <v>0.99009900990099009</v>
      </c>
      <c r="AC12" s="1565">
        <f t="shared" si="5"/>
        <v>0.99009900990099009</v>
      </c>
    </row>
    <row r="13" spans="1:30" ht="20.25">
      <c r="A13" s="2932"/>
      <c r="B13" s="2936" t="s">
        <v>2759</v>
      </c>
      <c r="C13" s="531">
        <f>ROUND(('数据-基础表'!B3+已售汇总!F15-'数据-基础表'!M28)/'数据-基础表'!A3,2)</f>
        <v>1.91</v>
      </c>
      <c r="D13" s="252">
        <v>100</v>
      </c>
      <c r="E13" s="530">
        <v>2</v>
      </c>
      <c r="F13" s="252">
        <f>LOOKUP(E13,82:82,83:83)-LOOKUP(C13,82:82,83:83)+100</f>
        <v>98</v>
      </c>
      <c r="G13" s="531">
        <v>2</v>
      </c>
      <c r="H13" s="252">
        <f>LOOKUP(G13,82:82,83:83)-LOOKUP(C13,82:82,83:83)+100</f>
        <v>98</v>
      </c>
      <c r="I13" s="530">
        <v>2</v>
      </c>
      <c r="J13" s="252">
        <f>LOOKUP(I13,82:82,83:83)-LOOKUP(C13,82:82,83:83)+100</f>
        <v>98</v>
      </c>
      <c r="K13" s="532">
        <v>2</v>
      </c>
      <c r="L13" s="2134"/>
      <c r="M13" s="2126"/>
      <c r="N13" s="2126"/>
      <c r="O13" s="2135"/>
      <c r="P13" s="3488"/>
      <c r="Q13" s="1146" t="str">
        <f t="shared" si="6"/>
        <v>容积率</v>
      </c>
      <c r="R13" s="1562" t="s">
        <v>8</v>
      </c>
      <c r="S13" s="1563">
        <f t="shared" si="0"/>
        <v>98</v>
      </c>
      <c r="T13" s="1562" t="s">
        <v>8</v>
      </c>
      <c r="U13" s="1563">
        <f t="shared" si="1"/>
        <v>98</v>
      </c>
      <c r="V13" s="1562" t="s">
        <v>8</v>
      </c>
      <c r="W13" s="1563">
        <f t="shared" si="2"/>
        <v>98</v>
      </c>
      <c r="X13" s="1564"/>
      <c r="Y13" s="3445"/>
      <c r="Z13" s="1145" t="str">
        <f t="shared" si="7"/>
        <v>容积率</v>
      </c>
      <c r="AA13" s="1565">
        <f t="shared" si="3"/>
        <v>1.0204081632653061</v>
      </c>
      <c r="AB13" s="1565">
        <f t="shared" si="4"/>
        <v>1.0204081632653061</v>
      </c>
      <c r="AC13" s="1565">
        <f t="shared" si="5"/>
        <v>1.0204081632653061</v>
      </c>
    </row>
    <row r="14" spans="1:30" s="1215" customFormat="1" ht="20.25">
      <c r="A14" s="2929"/>
      <c r="B14" s="2938" t="s">
        <v>2760</v>
      </c>
      <c r="C14" s="2925"/>
      <c r="D14" s="535">
        <v>100</v>
      </c>
      <c r="E14" s="1369"/>
      <c r="F14" s="252">
        <f>SUMIF(84:84,E14,85:85)-SUMIF(84:84,C14,85:85)+100</f>
        <v>100</v>
      </c>
      <c r="G14" s="527"/>
      <c r="H14" s="252">
        <f>SUMIF(84:84,G14,85:85)-SUMIF(84:84,C14,85:85)+100</f>
        <v>100</v>
      </c>
      <c r="I14" s="526"/>
      <c r="J14" s="252">
        <f>SUMIF(84:84,I14,85:85)-SUMIF(84:84,C14,85:85)+100</f>
        <v>100</v>
      </c>
      <c r="K14" s="528"/>
      <c r="L14" s="2129"/>
      <c r="M14" s="2126"/>
      <c r="N14" s="2126"/>
      <c r="O14" s="2131"/>
      <c r="P14" s="3488"/>
      <c r="Q14" s="1146" t="str">
        <f t="shared" si="6"/>
        <v>配建</v>
      </c>
      <c r="R14" s="1562" t="s">
        <v>8</v>
      </c>
      <c r="S14" s="1563">
        <f t="shared" si="0"/>
        <v>100</v>
      </c>
      <c r="T14" s="1562" t="s">
        <v>8</v>
      </c>
      <c r="U14" s="1563">
        <f t="shared" si="1"/>
        <v>100</v>
      </c>
      <c r="V14" s="1562" t="s">
        <v>8</v>
      </c>
      <c r="W14" s="1563">
        <f t="shared" si="2"/>
        <v>100</v>
      </c>
      <c r="X14" s="1564"/>
      <c r="Y14" s="3445"/>
      <c r="Z14" s="1145" t="str">
        <f t="shared" si="7"/>
        <v>配建</v>
      </c>
      <c r="AA14" s="1565">
        <f>D14/F14</f>
        <v>1</v>
      </c>
      <c r="AB14" s="1565">
        <f>D14/H14</f>
        <v>1</v>
      </c>
      <c r="AC14" s="1565">
        <f>D14/J14</f>
        <v>1</v>
      </c>
    </row>
    <row r="15" spans="1:30" ht="20.25">
      <c r="A15" s="2933"/>
      <c r="B15" s="2939">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488"/>
      <c r="Q15" s="1146">
        <f t="shared" si="6"/>
        <v>111</v>
      </c>
      <c r="R15" s="1562" t="s">
        <v>8</v>
      </c>
      <c r="S15" s="1563">
        <f t="shared" si="0"/>
        <v>100</v>
      </c>
      <c r="T15" s="1562" t="s">
        <v>8</v>
      </c>
      <c r="U15" s="1563">
        <f t="shared" si="1"/>
        <v>100</v>
      </c>
      <c r="V15" s="1562" t="s">
        <v>8</v>
      </c>
      <c r="W15" s="1563">
        <f t="shared" si="2"/>
        <v>100</v>
      </c>
      <c r="X15" s="1564"/>
      <c r="Y15" s="3445"/>
      <c r="Z15" s="1145">
        <f t="shared" si="7"/>
        <v>111</v>
      </c>
      <c r="AA15" s="1565">
        <f>D15/F15</f>
        <v>1</v>
      </c>
      <c r="AB15" s="1565">
        <f>D15/H15</f>
        <v>1</v>
      </c>
      <c r="AC15" s="1565">
        <f>D15/J15</f>
        <v>1</v>
      </c>
    </row>
    <row r="16" spans="1:30" ht="21" thickBot="1">
      <c r="A16" s="2934"/>
      <c r="B16" s="2940">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488"/>
      <c r="Q16" s="1146">
        <f t="shared" si="6"/>
        <v>111</v>
      </c>
      <c r="R16" s="1562" t="s">
        <v>8</v>
      </c>
      <c r="S16" s="1563">
        <f t="shared" si="0"/>
        <v>100</v>
      </c>
      <c r="T16" s="1562" t="s">
        <v>8</v>
      </c>
      <c r="U16" s="1563">
        <f t="shared" si="1"/>
        <v>100</v>
      </c>
      <c r="V16" s="1562" t="s">
        <v>8</v>
      </c>
      <c r="W16" s="1563">
        <f t="shared" si="2"/>
        <v>100</v>
      </c>
      <c r="X16" s="1564"/>
      <c r="Y16" s="3445"/>
      <c r="Z16" s="1145">
        <f t="shared" si="7"/>
        <v>111</v>
      </c>
      <c r="AA16" s="1565">
        <f>D16/F16</f>
        <v>1</v>
      </c>
      <c r="AB16" s="1565">
        <f>D16/H16</f>
        <v>1</v>
      </c>
      <c r="AC16" s="1565">
        <f>D16/J16</f>
        <v>1</v>
      </c>
    </row>
    <row r="17" spans="1:29" ht="57">
      <c r="A17" s="2926" t="s">
        <v>2755</v>
      </c>
      <c r="B17" s="575" t="s">
        <v>295</v>
      </c>
      <c r="C17" s="545" t="str">
        <f>估价对象房地状况!C15</f>
        <v>都旺新城、朝阳里等，分布密度一般，入住率一般，一般</v>
      </c>
      <c r="D17" s="548">
        <v>100</v>
      </c>
      <c r="E17" s="3234" t="s">
        <v>4217</v>
      </c>
      <c r="F17" s="546">
        <f>SUMIF(90:90,E18,91:91)-SUMIF(90:90,C18,91:91)+100</f>
        <v>100</v>
      </c>
      <c r="G17" s="547"/>
      <c r="H17" s="546">
        <f>SUMIF(90:90,G18,91:91)-SUMIF(90:90,C18,91:91)+100</f>
        <v>100</v>
      </c>
      <c r="I17" s="549"/>
      <c r="J17" s="546">
        <f>SUMIF(90:90,I18,91:91)-SUMIF(90:90,C18,91:91)+100</f>
        <v>100</v>
      </c>
      <c r="K17" s="532">
        <v>2</v>
      </c>
      <c r="L17" s="2136"/>
      <c r="M17" s="2126"/>
      <c r="N17" s="2126"/>
      <c r="O17" s="2135"/>
      <c r="P17" s="3490" t="s">
        <v>540</v>
      </c>
      <c r="Q17" s="1566" t="str">
        <f t="shared" si="6"/>
        <v>居住社区成熟度</v>
      </c>
      <c r="R17" s="1567" t="s">
        <v>8</v>
      </c>
      <c r="S17" s="1568">
        <f t="shared" si="0"/>
        <v>100</v>
      </c>
      <c r="T17" s="1567" t="s">
        <v>8</v>
      </c>
      <c r="U17" s="1568">
        <f t="shared" si="1"/>
        <v>100</v>
      </c>
      <c r="V17" s="1567" t="s">
        <v>8</v>
      </c>
      <c r="W17" s="1568">
        <f t="shared" si="2"/>
        <v>100</v>
      </c>
      <c r="X17" s="1561"/>
      <c r="Y17" s="3490" t="s">
        <v>540</v>
      </c>
      <c r="Z17" s="1569" t="str">
        <f t="shared" si="7"/>
        <v>居住社区成熟度</v>
      </c>
      <c r="AA17" s="1570">
        <f t="shared" si="3"/>
        <v>1</v>
      </c>
      <c r="AB17" s="1570">
        <f t="shared" si="4"/>
        <v>1</v>
      </c>
      <c r="AC17" s="1570">
        <f t="shared" si="5"/>
        <v>1</v>
      </c>
    </row>
    <row r="18" spans="1:29" ht="20.25">
      <c r="A18" s="529"/>
      <c r="B18" s="550"/>
      <c r="C18" s="551" t="s">
        <v>4097</v>
      </c>
      <c r="D18" s="554"/>
      <c r="E18" s="555" t="s">
        <v>4097</v>
      </c>
      <c r="F18" s="552"/>
      <c r="G18" s="553" t="s">
        <v>4097</v>
      </c>
      <c r="H18" s="556"/>
      <c r="I18" s="555" t="s">
        <v>4097</v>
      </c>
      <c r="J18" s="552"/>
      <c r="K18" s="528"/>
      <c r="L18" s="2136"/>
      <c r="M18" s="2126"/>
      <c r="N18" s="2126"/>
      <c r="O18" s="2135"/>
      <c r="P18" s="3491"/>
      <c r="Q18" s="1566"/>
      <c r="R18" s="1567"/>
      <c r="S18" s="1568"/>
      <c r="T18" s="1567"/>
      <c r="U18" s="1568"/>
      <c r="V18" s="1567"/>
      <c r="W18" s="1568"/>
      <c r="X18" s="1561"/>
      <c r="Y18" s="3491"/>
      <c r="Z18" s="1569"/>
      <c r="AA18" s="1570">
        <v>1</v>
      </c>
      <c r="AB18" s="1570">
        <v>1</v>
      </c>
      <c r="AC18" s="1570">
        <v>1</v>
      </c>
    </row>
    <row r="19" spans="1:29" ht="28.5">
      <c r="A19" s="529"/>
      <c r="B19" s="557" t="s">
        <v>541</v>
      </c>
      <c r="C19" s="558" t="str">
        <f>估价对象房地状况!C16</f>
        <v>津辰商贸城，一般</v>
      </c>
      <c r="D19" s="560">
        <v>100</v>
      </c>
      <c r="E19" s="3235" t="s">
        <v>4218</v>
      </c>
      <c r="F19" s="556">
        <f>SUMIF(92:92,E20,93:93)-SUMIF(92:92,C20,93:93)+100</f>
        <v>100</v>
      </c>
      <c r="G19" s="559"/>
      <c r="H19" s="562">
        <f>SUMIF(92:92,G20,93:93)-SUMIF(92:92,C20,93:93)+100</f>
        <v>100</v>
      </c>
      <c r="I19" s="561"/>
      <c r="J19" s="562">
        <f>SUMIF(92:92,I20,93:93)-SUMIF(92:92,C20,93:93)+100</f>
        <v>100</v>
      </c>
      <c r="K19" s="532">
        <v>2</v>
      </c>
      <c r="L19" s="2136"/>
      <c r="M19" s="2126"/>
      <c r="N19" s="2126"/>
      <c r="O19" s="2135"/>
      <c r="P19" s="3491"/>
      <c r="Q19" s="1566" t="str">
        <f>B19</f>
        <v>商业繁华度</v>
      </c>
      <c r="R19" s="1567" t="s">
        <v>8</v>
      </c>
      <c r="S19" s="1568">
        <f>F19</f>
        <v>100</v>
      </c>
      <c r="T19" s="1567" t="s">
        <v>8</v>
      </c>
      <c r="U19" s="1568">
        <f>H19</f>
        <v>100</v>
      </c>
      <c r="V19" s="1567" t="s">
        <v>8</v>
      </c>
      <c r="W19" s="1568">
        <f>J19</f>
        <v>100</v>
      </c>
      <c r="X19" s="1561"/>
      <c r="Y19" s="3491"/>
      <c r="Z19" s="1569" t="str">
        <f>Q19</f>
        <v>商业繁华度</v>
      </c>
      <c r="AA19" s="1570">
        <f t="shared" si="3"/>
        <v>1</v>
      </c>
      <c r="AB19" s="1570">
        <f t="shared" si="4"/>
        <v>1</v>
      </c>
      <c r="AC19" s="1570">
        <f t="shared" si="5"/>
        <v>1</v>
      </c>
    </row>
    <row r="20" spans="1:29" ht="20.25">
      <c r="A20" s="529"/>
      <c r="B20" s="563"/>
      <c r="C20" s="564" t="s">
        <v>4097</v>
      </c>
      <c r="D20" s="560"/>
      <c r="E20" s="566" t="s">
        <v>4097</v>
      </c>
      <c r="F20" s="556"/>
      <c r="G20" s="565" t="s">
        <v>4097</v>
      </c>
      <c r="H20" s="552"/>
      <c r="I20" s="566" t="s">
        <v>4097</v>
      </c>
      <c r="J20" s="552"/>
      <c r="K20" s="528"/>
      <c r="L20" s="2136"/>
      <c r="M20" s="2126"/>
      <c r="N20" s="2126"/>
      <c r="O20" s="2135"/>
      <c r="P20" s="3491"/>
      <c r="Q20" s="1566"/>
      <c r="R20" s="1567"/>
      <c r="S20" s="1568"/>
      <c r="T20" s="1567"/>
      <c r="U20" s="1568"/>
      <c r="V20" s="1567"/>
      <c r="W20" s="1568"/>
      <c r="X20" s="1561"/>
      <c r="Y20" s="3491"/>
      <c r="Z20" s="1569"/>
      <c r="AA20" s="1570">
        <v>1</v>
      </c>
      <c r="AB20" s="1570">
        <v>1</v>
      </c>
      <c r="AC20" s="1570">
        <v>1</v>
      </c>
    </row>
    <row r="21" spans="1:29" ht="20.25">
      <c r="A21" s="529"/>
      <c r="B21" s="557" t="s">
        <v>542</v>
      </c>
      <c r="C21" s="558" t="str">
        <f>估价对象房地状况!C17</f>
        <v>——</v>
      </c>
      <c r="D21" s="568">
        <v>100</v>
      </c>
      <c r="E21" s="569"/>
      <c r="F21" s="562">
        <f>SUMIF(94:94,E22,95:95)-SUMIF(94:94,C22,95:95)+100</f>
        <v>100</v>
      </c>
      <c r="G21" s="567"/>
      <c r="H21" s="556">
        <f>SUMIF(94:94,G22,95:95)-SUMIF(94:94,C22,95:95)+100</f>
        <v>100</v>
      </c>
      <c r="I21" s="569"/>
      <c r="J21" s="556">
        <f>SUMIF(94:94,I22,95:95)-SUMIF(94:94,C22,95:95)+100</f>
        <v>100</v>
      </c>
      <c r="K21" s="532">
        <v>0</v>
      </c>
      <c r="L21" s="2136"/>
      <c r="M21" s="2126"/>
      <c r="N21" s="2126"/>
      <c r="O21" s="2135"/>
      <c r="P21" s="3491"/>
      <c r="Q21" s="1566" t="str">
        <f>B21</f>
        <v>办公集聚程度</v>
      </c>
      <c r="R21" s="1567" t="s">
        <v>8</v>
      </c>
      <c r="S21" s="1568">
        <f>F21</f>
        <v>100</v>
      </c>
      <c r="T21" s="1567" t="s">
        <v>8</v>
      </c>
      <c r="U21" s="1568">
        <f>H21</f>
        <v>100</v>
      </c>
      <c r="V21" s="1567" t="s">
        <v>8</v>
      </c>
      <c r="W21" s="1568">
        <f>J21</f>
        <v>100</v>
      </c>
      <c r="X21" s="1561"/>
      <c r="Y21" s="3491"/>
      <c r="Z21" s="1569" t="str">
        <f>Q21</f>
        <v>办公集聚程度</v>
      </c>
      <c r="AA21" s="1570">
        <f t="shared" si="3"/>
        <v>1</v>
      </c>
      <c r="AB21" s="1570">
        <f t="shared" si="4"/>
        <v>1</v>
      </c>
      <c r="AC21" s="1570">
        <f t="shared" si="5"/>
        <v>1</v>
      </c>
    </row>
    <row r="22" spans="1:29" ht="20.25">
      <c r="A22" s="529"/>
      <c r="B22" s="563"/>
      <c r="C22" s="551"/>
      <c r="D22" s="554"/>
      <c r="E22" s="555"/>
      <c r="F22" s="552"/>
      <c r="G22" s="553"/>
      <c r="H22" s="552"/>
      <c r="I22" s="555"/>
      <c r="J22" s="552"/>
      <c r="K22" s="528"/>
      <c r="L22" s="2136"/>
      <c r="M22" s="2126"/>
      <c r="N22" s="2126"/>
      <c r="O22" s="2135"/>
      <c r="P22" s="3491"/>
      <c r="Q22" s="1566"/>
      <c r="R22" s="1567"/>
      <c r="S22" s="1568"/>
      <c r="T22" s="1567"/>
      <c r="U22" s="1568"/>
      <c r="V22" s="1567"/>
      <c r="W22" s="1568"/>
      <c r="X22" s="1561"/>
      <c r="Y22" s="3491"/>
      <c r="Z22" s="1569"/>
      <c r="AA22" s="1570">
        <v>1</v>
      </c>
      <c r="AB22" s="1570">
        <v>1</v>
      </c>
      <c r="AC22" s="1570">
        <v>1</v>
      </c>
    </row>
    <row r="23" spans="1:29" ht="69">
      <c r="A23" s="529"/>
      <c r="B23" s="557" t="s">
        <v>543</v>
      </c>
      <c r="C23" s="570" t="str">
        <f>估价对象房地状况!C18</f>
        <v>750、804、909，路网密度一般，停车便捷程度一般，一般</v>
      </c>
      <c r="D23" s="560">
        <v>100</v>
      </c>
      <c r="E23" s="561" t="s">
        <v>4219</v>
      </c>
      <c r="F23" s="562">
        <f>SUMIF(96:96,E24,97:97)-SUMIF(96:96,C24,97:97)+100</f>
        <v>102</v>
      </c>
      <c r="G23" s="559"/>
      <c r="H23" s="556">
        <f>SUMIF(96:96,G24,97:97)-SUMIF(96:96,C24,97:97)+100</f>
        <v>102</v>
      </c>
      <c r="I23" s="561"/>
      <c r="J23" s="556">
        <f>SUMIF(96:96,I24,97:97)-SUMIF(96:96,C24,97:97)+100</f>
        <v>100</v>
      </c>
      <c r="K23" s="532">
        <v>2</v>
      </c>
      <c r="L23" s="2136"/>
      <c r="M23" s="2126"/>
      <c r="N23" s="2126"/>
      <c r="O23" s="2135"/>
      <c r="P23" s="3491"/>
      <c r="Q23" s="1566" t="str">
        <f>B23</f>
        <v>交通便捷度</v>
      </c>
      <c r="R23" s="1567" t="s">
        <v>8</v>
      </c>
      <c r="S23" s="1568">
        <f>F23</f>
        <v>102</v>
      </c>
      <c r="T23" s="1567" t="s">
        <v>8</v>
      </c>
      <c r="U23" s="1568">
        <f>H23</f>
        <v>102</v>
      </c>
      <c r="V23" s="1567" t="s">
        <v>8</v>
      </c>
      <c r="W23" s="1568">
        <f>J23</f>
        <v>100</v>
      </c>
      <c r="X23" s="1561"/>
      <c r="Y23" s="3491"/>
      <c r="Z23" s="1569" t="str">
        <f>Q23</f>
        <v>交通便捷度</v>
      </c>
      <c r="AA23" s="1570">
        <f t="shared" si="3"/>
        <v>0.98039215686274506</v>
      </c>
      <c r="AB23" s="1570">
        <f t="shared" si="4"/>
        <v>0.98039215686274506</v>
      </c>
      <c r="AC23" s="1570">
        <f t="shared" si="5"/>
        <v>1</v>
      </c>
    </row>
    <row r="24" spans="1:29" ht="20.25">
      <c r="A24" s="529"/>
      <c r="B24" s="575"/>
      <c r="C24" s="551" t="s">
        <v>4097</v>
      </c>
      <c r="D24" s="554"/>
      <c r="E24" s="555" t="s">
        <v>4095</v>
      </c>
      <c r="F24" s="552"/>
      <c r="G24" s="553" t="s">
        <v>4095</v>
      </c>
      <c r="H24" s="552"/>
      <c r="I24" s="555" t="s">
        <v>4097</v>
      </c>
      <c r="J24" s="552"/>
      <c r="K24" s="528"/>
      <c r="L24" s="2136"/>
      <c r="M24" s="2126"/>
      <c r="N24" s="2126"/>
      <c r="O24" s="2135"/>
      <c r="P24" s="3491"/>
      <c r="Q24" s="1566"/>
      <c r="R24" s="1567"/>
      <c r="S24" s="1568"/>
      <c r="T24" s="1567"/>
      <c r="U24" s="1568"/>
      <c r="V24" s="1567"/>
      <c r="W24" s="1568"/>
      <c r="X24" s="1561"/>
      <c r="Y24" s="3491"/>
      <c r="Z24" s="1569"/>
      <c r="AA24" s="1570">
        <v>1</v>
      </c>
      <c r="AB24" s="1570">
        <v>1</v>
      </c>
      <c r="AC24" s="1570">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6"/>
      <c r="M25" s="2126"/>
      <c r="N25" s="2126"/>
      <c r="O25" s="2135"/>
      <c r="P25" s="3491"/>
      <c r="Q25" s="1566" t="str">
        <f t="shared" ref="Q25:Q39" si="8">B25</f>
        <v>区域土地利用方向</v>
      </c>
      <c r="R25" s="1567" t="s">
        <v>8</v>
      </c>
      <c r="S25" s="1568">
        <f>F25</f>
        <v>100</v>
      </c>
      <c r="T25" s="1567" t="s">
        <v>8</v>
      </c>
      <c r="U25" s="1568">
        <f>H25</f>
        <v>100</v>
      </c>
      <c r="V25" s="1567" t="s">
        <v>8</v>
      </c>
      <c r="W25" s="1568">
        <f>J25</f>
        <v>100</v>
      </c>
      <c r="X25" s="1561"/>
      <c r="Y25" s="3491"/>
      <c r="Z25" s="1569" t="str">
        <f>Q25</f>
        <v>区域土地利用方向</v>
      </c>
      <c r="AA25" s="1570">
        <f t="shared" si="3"/>
        <v>1</v>
      </c>
      <c r="AB25" s="1570">
        <f t="shared" si="4"/>
        <v>1</v>
      </c>
      <c r="AC25" s="1570">
        <f t="shared" si="5"/>
        <v>1</v>
      </c>
    </row>
    <row r="26" spans="1:29" ht="20.25">
      <c r="A26" s="512"/>
      <c r="B26" s="1002"/>
      <c r="C26" s="551" t="s">
        <v>4095</v>
      </c>
      <c r="D26" s="554"/>
      <c r="E26" s="555" t="s">
        <v>4095</v>
      </c>
      <c r="F26" s="552"/>
      <c r="G26" s="553" t="s">
        <v>4095</v>
      </c>
      <c r="H26" s="552"/>
      <c r="I26" s="555" t="s">
        <v>4095</v>
      </c>
      <c r="J26" s="552"/>
      <c r="K26" s="528"/>
      <c r="L26" s="2136"/>
      <c r="M26" s="2126"/>
      <c r="N26" s="2126"/>
      <c r="O26" s="2135"/>
      <c r="P26" s="3491"/>
      <c r="Q26" s="1566"/>
      <c r="R26" s="1567"/>
      <c r="S26" s="1568"/>
      <c r="T26" s="1567"/>
      <c r="U26" s="1568"/>
      <c r="V26" s="1567"/>
      <c r="W26" s="1568"/>
      <c r="X26" s="1561"/>
      <c r="Y26" s="3491"/>
      <c r="Z26" s="1569"/>
      <c r="AA26" s="1570"/>
      <c r="AB26" s="1570"/>
      <c r="AC26" s="1570"/>
    </row>
    <row r="27" spans="1:29" ht="28.5">
      <c r="A27" s="512"/>
      <c r="B27" s="575" t="s">
        <v>545</v>
      </c>
      <c r="C27" s="558" t="str">
        <f>估价对象房地状况!C20</f>
        <v>有公园，无人文，一般</v>
      </c>
      <c r="D27" s="560">
        <v>100</v>
      </c>
      <c r="E27" s="3235" t="s">
        <v>4220</v>
      </c>
      <c r="F27" s="556">
        <f>SUMIF(100:100,E28,101:101)-SUMIF(100:100,C28,101:101)+100</f>
        <v>100</v>
      </c>
      <c r="G27" s="559"/>
      <c r="H27" s="556">
        <f>SUMIF(100:100,G28,101:101)-SUMIF(100:100,C28,101:101)+100</f>
        <v>100</v>
      </c>
      <c r="I27" s="561"/>
      <c r="J27" s="556">
        <f>SUMIF(100:100,I28,101:101)-SUMIF(100:100,C28,101:101)+100</f>
        <v>98</v>
      </c>
      <c r="K27" s="532">
        <v>2</v>
      </c>
      <c r="L27" s="2136"/>
      <c r="M27" s="2126"/>
      <c r="N27" s="2126"/>
      <c r="O27" s="2135"/>
      <c r="P27" s="3491"/>
      <c r="Q27" s="1566" t="str">
        <f t="shared" si="8"/>
        <v>自然及人文环境状况</v>
      </c>
      <c r="R27" s="1567" t="s">
        <v>8</v>
      </c>
      <c r="S27" s="1568">
        <f>F27</f>
        <v>100</v>
      </c>
      <c r="T27" s="1567" t="s">
        <v>8</v>
      </c>
      <c r="U27" s="1568">
        <f>H27</f>
        <v>100</v>
      </c>
      <c r="V27" s="1567" t="s">
        <v>8</v>
      </c>
      <c r="W27" s="1568">
        <f>J27</f>
        <v>98</v>
      </c>
      <c r="X27" s="1561"/>
      <c r="Y27" s="3491"/>
      <c r="Z27" s="1569" t="str">
        <f>Q27</f>
        <v>自然及人文环境状况</v>
      </c>
      <c r="AA27" s="1570">
        <f t="shared" si="3"/>
        <v>1</v>
      </c>
      <c r="AB27" s="1570">
        <f t="shared" si="4"/>
        <v>1</v>
      </c>
      <c r="AC27" s="1570">
        <f t="shared" si="5"/>
        <v>1.0204081632653061</v>
      </c>
    </row>
    <row r="28" spans="1:29" ht="20.25">
      <c r="A28" s="512"/>
      <c r="B28" s="563"/>
      <c r="C28" s="551" t="s">
        <v>4097</v>
      </c>
      <c r="D28" s="554"/>
      <c r="E28" s="573" t="s">
        <v>4097</v>
      </c>
      <c r="F28" s="552"/>
      <c r="G28" s="551" t="s">
        <v>4097</v>
      </c>
      <c r="H28" s="552"/>
      <c r="I28" s="573" t="s">
        <v>4099</v>
      </c>
      <c r="J28" s="552"/>
      <c r="K28" s="528"/>
      <c r="L28" s="2136"/>
      <c r="M28" s="2126"/>
      <c r="N28" s="2126"/>
      <c r="O28" s="2135"/>
      <c r="P28" s="3491"/>
      <c r="Q28" s="1566"/>
      <c r="R28" s="1567"/>
      <c r="S28" s="1568"/>
      <c r="T28" s="1567"/>
      <c r="U28" s="1568"/>
      <c r="V28" s="1567"/>
      <c r="W28" s="1568"/>
      <c r="X28" s="1561"/>
      <c r="Y28" s="3491"/>
      <c r="Z28" s="1569"/>
      <c r="AA28" s="1570">
        <v>1</v>
      </c>
      <c r="AB28" s="1570">
        <v>1</v>
      </c>
      <c r="AC28" s="1570">
        <v>1</v>
      </c>
    </row>
    <row r="29" spans="1:29" s="1215" customFormat="1" ht="20.25">
      <c r="A29" s="574"/>
      <c r="B29" s="2607" t="s">
        <v>2549</v>
      </c>
      <c r="C29" s="570" t="str">
        <f>估价对象房地状况!C21</f>
        <v>较好</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29"/>
      <c r="M29" s="2126"/>
      <c r="N29" s="2126"/>
      <c r="O29" s="2131"/>
      <c r="P29" s="3491"/>
      <c r="Q29" s="1146" t="str">
        <f t="shared" si="8"/>
        <v>公共配套设施</v>
      </c>
      <c r="R29" s="1562" t="s">
        <v>8</v>
      </c>
      <c r="S29" s="1563">
        <f>F29</f>
        <v>100</v>
      </c>
      <c r="T29" s="1562" t="s">
        <v>8</v>
      </c>
      <c r="U29" s="1563">
        <f>H29</f>
        <v>100</v>
      </c>
      <c r="V29" s="1562" t="s">
        <v>8</v>
      </c>
      <c r="W29" s="1563">
        <f>J29</f>
        <v>100</v>
      </c>
      <c r="X29" s="1564"/>
      <c r="Y29" s="3491"/>
      <c r="Z29" s="1145" t="str">
        <f>Q29</f>
        <v>公共配套设施</v>
      </c>
      <c r="AA29" s="1570">
        <f>D29/F29</f>
        <v>1</v>
      </c>
      <c r="AB29" s="1570">
        <f>D29/H29</f>
        <v>1</v>
      </c>
      <c r="AC29" s="1570">
        <f>D29/J29</f>
        <v>1</v>
      </c>
    </row>
    <row r="30" spans="1:29" s="1215" customFormat="1" ht="20.25">
      <c r="A30" s="574"/>
      <c r="B30" s="563"/>
      <c r="C30" s="576" t="s">
        <v>4095</v>
      </c>
      <c r="D30" s="554"/>
      <c r="E30" s="573" t="s">
        <v>4095</v>
      </c>
      <c r="F30" s="552"/>
      <c r="G30" s="551" t="s">
        <v>4095</v>
      </c>
      <c r="H30" s="552"/>
      <c r="I30" s="573" t="s">
        <v>4095</v>
      </c>
      <c r="J30" s="552"/>
      <c r="K30" s="528"/>
      <c r="L30" s="2129"/>
      <c r="M30" s="2126"/>
      <c r="N30" s="2126"/>
      <c r="O30" s="2131"/>
      <c r="P30" s="3491"/>
      <c r="Q30" s="1146"/>
      <c r="R30" s="1562"/>
      <c r="S30" s="1563"/>
      <c r="T30" s="1562"/>
      <c r="U30" s="1563"/>
      <c r="V30" s="1562"/>
      <c r="W30" s="1563"/>
      <c r="X30" s="1564"/>
      <c r="Y30" s="3491"/>
      <c r="Z30" s="1145"/>
      <c r="AA30" s="1570">
        <v>1</v>
      </c>
      <c r="AB30" s="1570">
        <v>1</v>
      </c>
      <c r="AC30" s="1570">
        <v>1</v>
      </c>
    </row>
    <row r="31" spans="1:29" s="1215" customFormat="1" ht="20.25">
      <c r="A31" s="574"/>
      <c r="B31" s="2607" t="s">
        <v>2550</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29"/>
      <c r="M31" s="2126"/>
      <c r="N31" s="2126"/>
      <c r="O31" s="2131"/>
      <c r="P31" s="3491"/>
      <c r="Q31" s="2594" t="str">
        <f t="shared" ref="Q31" si="9">B31</f>
        <v>基础设施水平</v>
      </c>
      <c r="R31" s="1562" t="s">
        <v>8</v>
      </c>
      <c r="S31" s="1563">
        <f>F31</f>
        <v>100</v>
      </c>
      <c r="T31" s="1562" t="s">
        <v>8</v>
      </c>
      <c r="U31" s="1563">
        <f>H31</f>
        <v>100</v>
      </c>
      <c r="V31" s="1562" t="s">
        <v>8</v>
      </c>
      <c r="W31" s="1563">
        <f>J31</f>
        <v>100</v>
      </c>
      <c r="X31" s="1564"/>
      <c r="Y31" s="3491"/>
      <c r="Z31" s="2591" t="str">
        <f>Q31</f>
        <v>基础设施水平</v>
      </c>
      <c r="AA31" s="1570">
        <f>D31/F31</f>
        <v>1</v>
      </c>
      <c r="AB31" s="1570">
        <f>D31/H31</f>
        <v>1</v>
      </c>
      <c r="AC31" s="1570">
        <f>D31/J31</f>
        <v>1</v>
      </c>
    </row>
    <row r="32" spans="1:29" s="1215" customFormat="1" ht="20.25">
      <c r="A32" s="574"/>
      <c r="B32" s="563"/>
      <c r="C32" s="576" t="s">
        <v>4107</v>
      </c>
      <c r="D32" s="554"/>
      <c r="E32" s="2608" t="s">
        <v>4107</v>
      </c>
      <c r="F32" s="552"/>
      <c r="G32" s="576" t="s">
        <v>4107</v>
      </c>
      <c r="H32" s="552"/>
      <c r="I32" s="576" t="s">
        <v>4107</v>
      </c>
      <c r="J32" s="552"/>
      <c r="K32" s="528"/>
      <c r="L32" s="2129"/>
      <c r="M32" s="2126"/>
      <c r="N32" s="2126"/>
      <c r="O32" s="2131"/>
      <c r="P32" s="3491"/>
      <c r="Q32" s="2594"/>
      <c r="R32" s="1562"/>
      <c r="S32" s="1563"/>
      <c r="T32" s="1562"/>
      <c r="U32" s="1563"/>
      <c r="V32" s="1562"/>
      <c r="W32" s="1563"/>
      <c r="X32" s="1564"/>
      <c r="Y32" s="3491"/>
      <c r="Z32" s="2591"/>
      <c r="AA32" s="1570">
        <v>1</v>
      </c>
      <c r="AB32" s="1570">
        <v>1</v>
      </c>
      <c r="AC32" s="1570">
        <v>1</v>
      </c>
    </row>
    <row r="33" spans="1:29" ht="20.25">
      <c r="A33" s="529"/>
      <c r="B33" s="563" t="s">
        <v>547</v>
      </c>
      <c r="C33" s="577" t="s">
        <v>4111</v>
      </c>
      <c r="D33" s="572">
        <v>100</v>
      </c>
      <c r="E33" s="580" t="s">
        <v>4111</v>
      </c>
      <c r="F33" s="537">
        <f>SUMIF(106:106,E33,107:107)-SUMIF(106:106,C33,107:107)+100</f>
        <v>100</v>
      </c>
      <c r="G33" s="577" t="s">
        <v>4111</v>
      </c>
      <c r="H33" s="537">
        <f>SUMIF(106:106,G33,107:107)-SUMIF(106:106,C33,107:107)+100</f>
        <v>100</v>
      </c>
      <c r="I33" s="577" t="s">
        <v>4111</v>
      </c>
      <c r="J33" s="537">
        <f>SUMIF(106:106,I33,107:107)-SUMIF(106:106,C33,107:107)+100</f>
        <v>100</v>
      </c>
      <c r="K33" s="532">
        <v>2</v>
      </c>
      <c r="L33" s="2136"/>
      <c r="M33" s="2126"/>
      <c r="N33" s="2126"/>
      <c r="O33" s="2135"/>
      <c r="P33" s="3491"/>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91"/>
      <c r="Z33" s="1569" t="str">
        <f t="shared" ref="Z33:Z47" si="13">Q33</f>
        <v>临街状况</v>
      </c>
      <c r="AA33" s="1570">
        <f t="shared" si="3"/>
        <v>1</v>
      </c>
      <c r="AB33" s="1570">
        <f t="shared" si="4"/>
        <v>1</v>
      </c>
      <c r="AC33" s="1570">
        <f t="shared" si="5"/>
        <v>1</v>
      </c>
    </row>
    <row r="34" spans="1:29" ht="27">
      <c r="A34" s="529"/>
      <c r="B34" s="575" t="s">
        <v>548</v>
      </c>
      <c r="C34" s="559"/>
      <c r="D34" s="560">
        <v>100</v>
      </c>
      <c r="E34" s="561"/>
      <c r="F34" s="556">
        <f>SUMIF(108:108,E35,109:109)-SUMIF(108:108,C35,109:109)+100</f>
        <v>98</v>
      </c>
      <c r="G34" s="559"/>
      <c r="H34" s="556">
        <f>SUMIF(108:108,G35,109:109)-SUMIF(108:108,C35,109:109)+100</f>
        <v>100</v>
      </c>
      <c r="I34" s="561"/>
      <c r="J34" s="556">
        <f>SUMIF(108:108,I35,109:109)-SUMIF(108:108,C35,109:109)+100</f>
        <v>98</v>
      </c>
      <c r="K34" s="532">
        <v>2</v>
      </c>
      <c r="L34" s="2136"/>
      <c r="M34" s="2126"/>
      <c r="N34" s="2126"/>
      <c r="O34" s="2135"/>
      <c r="P34" s="3491"/>
      <c r="Q34" s="1566" t="str">
        <f t="shared" si="8"/>
        <v>毗邻道路的类型与等级</v>
      </c>
      <c r="R34" s="1567" t="s">
        <v>8</v>
      </c>
      <c r="S34" s="1568">
        <f t="shared" si="10"/>
        <v>98</v>
      </c>
      <c r="T34" s="1567" t="s">
        <v>8</v>
      </c>
      <c r="U34" s="1568">
        <f t="shared" si="11"/>
        <v>100</v>
      </c>
      <c r="V34" s="1567" t="s">
        <v>8</v>
      </c>
      <c r="W34" s="1568">
        <f t="shared" si="12"/>
        <v>98</v>
      </c>
      <c r="X34" s="1561"/>
      <c r="Y34" s="3491"/>
      <c r="Z34" s="1569" t="str">
        <f t="shared" si="13"/>
        <v>毗邻道路的类型与等级</v>
      </c>
      <c r="AA34" s="1570">
        <f t="shared" si="3"/>
        <v>1.0204081632653061</v>
      </c>
      <c r="AB34" s="1570">
        <f t="shared" si="4"/>
        <v>1</v>
      </c>
      <c r="AC34" s="1570">
        <f t="shared" si="5"/>
        <v>1.0204081632653061</v>
      </c>
    </row>
    <row r="35" spans="1:29" ht="20.25">
      <c r="A35" s="529"/>
      <c r="B35" s="563"/>
      <c r="C35" s="551" t="s">
        <v>4074</v>
      </c>
      <c r="D35" s="554"/>
      <c r="E35" s="573" t="s">
        <v>4076</v>
      </c>
      <c r="F35" s="552"/>
      <c r="G35" s="551" t="s">
        <v>4074</v>
      </c>
      <c r="H35" s="552"/>
      <c r="I35" s="573" t="s">
        <v>4076</v>
      </c>
      <c r="J35" s="552"/>
      <c r="K35" s="578"/>
      <c r="L35" s="2136"/>
      <c r="M35" s="2126"/>
      <c r="N35" s="2126"/>
      <c r="O35" s="2135"/>
      <c r="P35" s="3491"/>
      <c r="Q35" s="1566"/>
      <c r="R35" s="1567"/>
      <c r="S35" s="1568"/>
      <c r="T35" s="1567"/>
      <c r="U35" s="1568"/>
      <c r="V35" s="1567"/>
      <c r="W35" s="1568"/>
      <c r="X35" s="1561"/>
      <c r="Y35" s="3491"/>
      <c r="Z35" s="1569"/>
      <c r="AA35" s="1570">
        <v>1</v>
      </c>
      <c r="AB35" s="1570">
        <v>1</v>
      </c>
      <c r="AC35" s="1570">
        <v>1</v>
      </c>
    </row>
    <row r="36" spans="1:29" ht="20.25">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v>0</v>
      </c>
      <c r="L36" s="2136"/>
      <c r="M36" s="2126"/>
      <c r="N36" s="2126"/>
      <c r="O36" s="2135"/>
      <c r="P36" s="3491"/>
      <c r="Q36" s="1566" t="str">
        <f t="shared" si="8"/>
        <v>土地级别</v>
      </c>
      <c r="R36" s="1567" t="s">
        <v>8</v>
      </c>
      <c r="S36" s="1568">
        <f t="shared" si="10"/>
        <v>100</v>
      </c>
      <c r="T36" s="1567" t="s">
        <v>8</v>
      </c>
      <c r="U36" s="1568">
        <f t="shared" si="11"/>
        <v>100</v>
      </c>
      <c r="V36" s="1567" t="s">
        <v>8</v>
      </c>
      <c r="W36" s="1568">
        <f t="shared" si="12"/>
        <v>100</v>
      </c>
      <c r="X36" s="1561"/>
      <c r="Y36" s="3491"/>
      <c r="Z36" s="1569" t="str">
        <f t="shared" si="13"/>
        <v>土地级别</v>
      </c>
      <c r="AA36" s="1570">
        <f t="shared" si="3"/>
        <v>1</v>
      </c>
      <c r="AB36" s="1570">
        <f t="shared" si="4"/>
        <v>1</v>
      </c>
      <c r="AC36" s="157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491"/>
      <c r="Q37" s="1566">
        <f t="shared" si="8"/>
        <v>111</v>
      </c>
      <c r="R37" s="1567" t="s">
        <v>8</v>
      </c>
      <c r="S37" s="1568">
        <f t="shared" si="10"/>
        <v>100</v>
      </c>
      <c r="T37" s="1567" t="s">
        <v>8</v>
      </c>
      <c r="U37" s="1568">
        <f t="shared" si="11"/>
        <v>100</v>
      </c>
      <c r="V37" s="1567" t="s">
        <v>8</v>
      </c>
      <c r="W37" s="1568">
        <f t="shared" si="12"/>
        <v>100</v>
      </c>
      <c r="X37" s="1561"/>
      <c r="Y37" s="3491"/>
      <c r="Z37" s="1569">
        <f t="shared" si="13"/>
        <v>111</v>
      </c>
      <c r="AA37" s="1570">
        <f t="shared" si="3"/>
        <v>1</v>
      </c>
      <c r="AB37" s="1570">
        <f t="shared" si="4"/>
        <v>1</v>
      </c>
      <c r="AC37" s="157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492" t="s">
        <v>550</v>
      </c>
      <c r="Q38" s="1566">
        <f t="shared" si="8"/>
        <v>111</v>
      </c>
      <c r="R38" s="1567" t="s">
        <v>8</v>
      </c>
      <c r="S38" s="1568">
        <f t="shared" si="10"/>
        <v>100</v>
      </c>
      <c r="T38" s="1567" t="s">
        <v>8</v>
      </c>
      <c r="U38" s="1568">
        <f t="shared" si="11"/>
        <v>100</v>
      </c>
      <c r="V38" s="1567" t="s">
        <v>8</v>
      </c>
      <c r="W38" s="1568">
        <f t="shared" si="12"/>
        <v>100</v>
      </c>
      <c r="X38" s="1561"/>
      <c r="Y38" s="3493" t="s">
        <v>550</v>
      </c>
      <c r="Z38" s="1569">
        <f t="shared" si="13"/>
        <v>111</v>
      </c>
      <c r="AA38" s="1570">
        <f t="shared" si="3"/>
        <v>1</v>
      </c>
      <c r="AB38" s="1570">
        <f t="shared" si="4"/>
        <v>1</v>
      </c>
      <c r="AC38" s="1570">
        <f t="shared" si="5"/>
        <v>1</v>
      </c>
    </row>
    <row r="39" spans="1:29" s="1334"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493"/>
      <c r="Q39" s="1566">
        <f t="shared" si="8"/>
        <v>111</v>
      </c>
      <c r="R39" s="1571" t="s">
        <v>8</v>
      </c>
      <c r="S39" s="1572">
        <f t="shared" si="10"/>
        <v>100</v>
      </c>
      <c r="T39" s="1571" t="s">
        <v>8</v>
      </c>
      <c r="U39" s="1572">
        <f t="shared" si="11"/>
        <v>100</v>
      </c>
      <c r="V39" s="1571" t="s">
        <v>8</v>
      </c>
      <c r="W39" s="1572">
        <f t="shared" si="12"/>
        <v>100</v>
      </c>
      <c r="X39" s="1573"/>
      <c r="Y39" s="3493"/>
      <c r="Z39" s="1574">
        <f t="shared" si="13"/>
        <v>111</v>
      </c>
      <c r="AA39" s="1570">
        <f t="shared" si="3"/>
        <v>1</v>
      </c>
      <c r="AB39" s="1570">
        <f t="shared" si="4"/>
        <v>1</v>
      </c>
      <c r="AC39" s="1570">
        <f t="shared" si="5"/>
        <v>1</v>
      </c>
    </row>
    <row r="40" spans="1:29" ht="20.25">
      <c r="A40" s="2923" t="s">
        <v>2756</v>
      </c>
      <c r="B40" s="592" t="s">
        <v>552</v>
      </c>
      <c r="C40" s="593">
        <f>'数据-基础表'!A3</f>
        <v>122036.3</v>
      </c>
      <c r="D40" s="594">
        <v>100</v>
      </c>
      <c r="E40" s="593">
        <f>土地案例!F3</f>
        <v>129903.8</v>
      </c>
      <c r="F40" s="594">
        <f>LOOKUP(E40,119:119,120:120)-LOOKUP(C40,119:119,120:120)+100</f>
        <v>100</v>
      </c>
      <c r="G40" s="593">
        <f>土地案例!F5</f>
        <v>98262.8</v>
      </c>
      <c r="H40" s="594">
        <f>LOOKUP(G40,119:119,120:120)-LOOKUP(C40,119:119,120:120)+100</f>
        <v>99</v>
      </c>
      <c r="I40" s="595">
        <f>土地案例!F8</f>
        <v>63480.1</v>
      </c>
      <c r="J40" s="594">
        <f>LOOKUP(I40,119:119,120:120)-LOOKUP(C40,119:119,120:120)+100</f>
        <v>98</v>
      </c>
      <c r="K40" s="578"/>
      <c r="L40" s="2136"/>
      <c r="M40" s="2126"/>
      <c r="N40" s="2126"/>
      <c r="O40" s="2135"/>
      <c r="P40" s="3493"/>
      <c r="Q40" s="1566" t="str">
        <f>B40</f>
        <v>宗地面积</v>
      </c>
      <c r="R40" s="1567" t="s">
        <v>8</v>
      </c>
      <c r="S40" s="1568">
        <f t="shared" si="10"/>
        <v>100</v>
      </c>
      <c r="T40" s="1567" t="s">
        <v>8</v>
      </c>
      <c r="U40" s="1568">
        <f t="shared" si="11"/>
        <v>99</v>
      </c>
      <c r="V40" s="1567" t="s">
        <v>8</v>
      </c>
      <c r="W40" s="1568">
        <f t="shared" si="12"/>
        <v>98</v>
      </c>
      <c r="X40" s="1561"/>
      <c r="Y40" s="3493"/>
      <c r="Z40" s="1569" t="str">
        <f t="shared" si="13"/>
        <v>宗地面积</v>
      </c>
      <c r="AA40" s="1570">
        <f t="shared" si="3"/>
        <v>1</v>
      </c>
      <c r="AB40" s="1570">
        <f t="shared" si="4"/>
        <v>1.0101010101010102</v>
      </c>
      <c r="AC40" s="1570">
        <f t="shared" si="5"/>
        <v>1.0204081632653061</v>
      </c>
    </row>
    <row r="41" spans="1:29" ht="20.25">
      <c r="A41" s="591"/>
      <c r="B41" s="524" t="s">
        <v>553</v>
      </c>
      <c r="C41" s="3250" t="s">
        <v>4335</v>
      </c>
      <c r="D41" s="537">
        <v>100</v>
      </c>
      <c r="E41" s="596" t="s">
        <v>4080</v>
      </c>
      <c r="F41" s="537">
        <f>SUMIF(121:121,E41,122:122)-SUMIF(121:121,C41,122:122)+100</f>
        <v>97</v>
      </c>
      <c r="G41" s="596" t="s">
        <v>4080</v>
      </c>
      <c r="H41" s="537">
        <f>SUMIF(121:121,G41,122:122)-SUMIF(121:121,C41,122:122)+100</f>
        <v>97</v>
      </c>
      <c r="I41" s="596" t="s">
        <v>4335</v>
      </c>
      <c r="J41" s="537">
        <f>SUMIF(121:121,I41,122:122)-SUMIF(121:121,C41,122:122)+100</f>
        <v>100</v>
      </c>
      <c r="K41" s="581">
        <v>3</v>
      </c>
      <c r="L41" s="2136"/>
      <c r="M41" s="2126"/>
      <c r="N41" s="2126"/>
      <c r="O41" s="2135"/>
      <c r="P41" s="3493"/>
      <c r="Q41" s="1566" t="str">
        <f t="shared" ref="Q41:Q47" si="14">B41</f>
        <v>宗地形状</v>
      </c>
      <c r="R41" s="1567" t="s">
        <v>8</v>
      </c>
      <c r="S41" s="1568">
        <f t="shared" si="10"/>
        <v>97</v>
      </c>
      <c r="T41" s="1567" t="s">
        <v>8</v>
      </c>
      <c r="U41" s="1568">
        <f t="shared" si="11"/>
        <v>97</v>
      </c>
      <c r="V41" s="1567" t="s">
        <v>8</v>
      </c>
      <c r="W41" s="1568">
        <f t="shared" si="12"/>
        <v>100</v>
      </c>
      <c r="X41" s="1561"/>
      <c r="Y41" s="3493"/>
      <c r="Z41" s="1569" t="str">
        <f t="shared" si="13"/>
        <v>宗地形状</v>
      </c>
      <c r="AA41" s="1570">
        <f t="shared" si="3"/>
        <v>1.0309278350515463</v>
      </c>
      <c r="AB41" s="1570">
        <f t="shared" si="4"/>
        <v>1.0309278350515463</v>
      </c>
      <c r="AC41" s="1570">
        <f t="shared" si="5"/>
        <v>1</v>
      </c>
    </row>
    <row r="42" spans="1:29" ht="20.25">
      <c r="A42" s="591"/>
      <c r="B42" s="524" t="s">
        <v>554</v>
      </c>
      <c r="C42" s="596" t="s">
        <v>4084</v>
      </c>
      <c r="D42" s="537">
        <v>100</v>
      </c>
      <c r="E42" s="596" t="s">
        <v>4084</v>
      </c>
      <c r="F42" s="537">
        <f>SUMIF(123:123,E42,124:124)-SUMIF(123:123,C42,124:124)+100</f>
        <v>100</v>
      </c>
      <c r="G42" s="596" t="s">
        <v>4084</v>
      </c>
      <c r="H42" s="537">
        <f>SUMIF(123:123,G42,124:124)-SUMIF(123:123,C42,124:124)+100</f>
        <v>100</v>
      </c>
      <c r="I42" s="596" t="s">
        <v>4084</v>
      </c>
      <c r="J42" s="537">
        <f>SUMIF(123:123,I42,124:124)-SUMIF(123:123,C42,124:124)+100</f>
        <v>100</v>
      </c>
      <c r="K42" s="581">
        <v>2</v>
      </c>
      <c r="L42" s="2136"/>
      <c r="M42" s="2126"/>
      <c r="N42" s="2126"/>
      <c r="O42" s="2135"/>
      <c r="P42" s="3493"/>
      <c r="Q42" s="1566" t="str">
        <f t="shared" si="14"/>
        <v>临街宽度及深度</v>
      </c>
      <c r="R42" s="1567" t="s">
        <v>8</v>
      </c>
      <c r="S42" s="1568">
        <f t="shared" si="10"/>
        <v>100</v>
      </c>
      <c r="T42" s="1567" t="s">
        <v>8</v>
      </c>
      <c r="U42" s="1568">
        <f t="shared" si="11"/>
        <v>100</v>
      </c>
      <c r="V42" s="1567" t="s">
        <v>8</v>
      </c>
      <c r="W42" s="1568">
        <f t="shared" si="12"/>
        <v>100</v>
      </c>
      <c r="X42" s="1561"/>
      <c r="Y42" s="3493"/>
      <c r="Z42" s="1569" t="str">
        <f t="shared" si="13"/>
        <v>临街宽度及深度</v>
      </c>
      <c r="AA42" s="1570">
        <f t="shared" si="3"/>
        <v>1</v>
      </c>
      <c r="AB42" s="1570">
        <f t="shared" si="4"/>
        <v>1</v>
      </c>
      <c r="AC42" s="1570">
        <f t="shared" si="5"/>
        <v>1</v>
      </c>
    </row>
    <row r="43" spans="1:29" s="1215" customFormat="1" ht="20.25">
      <c r="A43" s="597"/>
      <c r="B43" s="1889" t="s">
        <v>2425</v>
      </c>
      <c r="C43" s="880" t="s">
        <v>4092</v>
      </c>
      <c r="D43" s="252">
        <v>100</v>
      </c>
      <c r="E43" s="598" t="s">
        <v>4092</v>
      </c>
      <c r="F43" s="537">
        <f>SUMIF(125:125,E43,126:126)-SUMIF(125:125,C43,126:126)+100</f>
        <v>100</v>
      </c>
      <c r="G43" s="598" t="s">
        <v>4092</v>
      </c>
      <c r="H43" s="537">
        <f>SUMIF(125:125,G43,126:126)-SUMIF(125:125,C43,126:126)+100</f>
        <v>100</v>
      </c>
      <c r="I43" s="598" t="s">
        <v>4092</v>
      </c>
      <c r="J43" s="537">
        <f>SUMIF(125:125,I43,126:126)-SUMIF(125:125,C43,126:126)+100</f>
        <v>100</v>
      </c>
      <c r="K43" s="581">
        <v>2</v>
      </c>
      <c r="L43" s="2129"/>
      <c r="M43" s="2126"/>
      <c r="N43" s="2126"/>
      <c r="O43" s="2131"/>
      <c r="P43" s="3493"/>
      <c r="Q43" s="1566" t="str">
        <f t="shared" si="14"/>
        <v>宗地开发程度</v>
      </c>
      <c r="R43" s="1562" t="s">
        <v>8</v>
      </c>
      <c r="S43" s="1563">
        <f t="shared" si="10"/>
        <v>100</v>
      </c>
      <c r="T43" s="1562" t="s">
        <v>8</v>
      </c>
      <c r="U43" s="1563">
        <f t="shared" si="11"/>
        <v>100</v>
      </c>
      <c r="V43" s="1562" t="s">
        <v>8</v>
      </c>
      <c r="W43" s="1563">
        <f t="shared" si="12"/>
        <v>100</v>
      </c>
      <c r="X43" s="1564"/>
      <c r="Y43" s="3493"/>
      <c r="Z43" s="1145" t="str">
        <f t="shared" si="13"/>
        <v>宗地开发程度</v>
      </c>
      <c r="AA43" s="1565">
        <f t="shared" si="3"/>
        <v>1</v>
      </c>
      <c r="AB43" s="1565">
        <f t="shared" si="4"/>
        <v>1</v>
      </c>
      <c r="AC43" s="1565">
        <f t="shared" si="5"/>
        <v>1</v>
      </c>
    </row>
    <row r="44" spans="1:29" ht="20.25">
      <c r="A44" s="591"/>
      <c r="B44" s="524" t="s">
        <v>555</v>
      </c>
      <c r="C44" s="596" t="s">
        <v>4095</v>
      </c>
      <c r="D44" s="537">
        <v>100</v>
      </c>
      <c r="E44" s="596" t="s">
        <v>4095</v>
      </c>
      <c r="F44" s="537">
        <f>SUMIF(127:127,E44,128:128)-SUMIF(127:127,C44,128:128)+100</f>
        <v>100</v>
      </c>
      <c r="G44" s="596" t="s">
        <v>4095</v>
      </c>
      <c r="H44" s="537">
        <f>SUMIF(127:127,G44,128:128)-SUMIF(127:127,C44,128:128)+100</f>
        <v>100</v>
      </c>
      <c r="I44" s="596" t="s">
        <v>4095</v>
      </c>
      <c r="J44" s="537">
        <f>SUMIF(127:127,I44,128:128)-SUMIF(127:127,C44,128:128)+100</f>
        <v>100</v>
      </c>
      <c r="K44" s="581">
        <v>2</v>
      </c>
      <c r="L44" s="2136"/>
      <c r="M44" s="2126"/>
      <c r="N44" s="2126"/>
      <c r="O44" s="2135"/>
      <c r="P44" s="3493" t="s">
        <v>550</v>
      </c>
      <c r="Q44" s="1566" t="str">
        <f t="shared" si="14"/>
        <v>工程地质条件</v>
      </c>
      <c r="R44" s="1567" t="s">
        <v>8</v>
      </c>
      <c r="S44" s="1568">
        <f t="shared" si="10"/>
        <v>100</v>
      </c>
      <c r="T44" s="1567" t="s">
        <v>8</v>
      </c>
      <c r="U44" s="1568">
        <f t="shared" si="11"/>
        <v>100</v>
      </c>
      <c r="V44" s="1567" t="s">
        <v>8</v>
      </c>
      <c r="W44" s="1568">
        <f t="shared" si="12"/>
        <v>100</v>
      </c>
      <c r="X44" s="1561"/>
      <c r="Y44" s="3493" t="s">
        <v>550</v>
      </c>
      <c r="Z44" s="1569" t="str">
        <f t="shared" si="13"/>
        <v>工程地质条件</v>
      </c>
      <c r="AA44" s="1570">
        <f t="shared" si="3"/>
        <v>1</v>
      </c>
      <c r="AB44" s="1570">
        <f t="shared" si="4"/>
        <v>1</v>
      </c>
      <c r="AC44" s="157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493"/>
      <c r="Q45" s="1566">
        <f t="shared" si="14"/>
        <v>111</v>
      </c>
      <c r="R45" s="1567" t="s">
        <v>8</v>
      </c>
      <c r="S45" s="1568">
        <f t="shared" si="10"/>
        <v>100</v>
      </c>
      <c r="T45" s="1567" t="s">
        <v>8</v>
      </c>
      <c r="U45" s="1568">
        <f t="shared" si="11"/>
        <v>100</v>
      </c>
      <c r="V45" s="1567" t="s">
        <v>8</v>
      </c>
      <c r="W45" s="1568">
        <f t="shared" si="12"/>
        <v>100</v>
      </c>
      <c r="X45" s="1561"/>
      <c r="Y45" s="3493"/>
      <c r="Z45" s="1569">
        <f t="shared" si="13"/>
        <v>111</v>
      </c>
      <c r="AA45" s="1570">
        <f t="shared" si="3"/>
        <v>1</v>
      </c>
      <c r="AB45" s="1570">
        <f t="shared" si="4"/>
        <v>1</v>
      </c>
      <c r="AC45" s="157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493"/>
      <c r="Q46" s="1566">
        <f t="shared" si="14"/>
        <v>111</v>
      </c>
      <c r="R46" s="1567" t="s">
        <v>8</v>
      </c>
      <c r="S46" s="1568">
        <f t="shared" si="10"/>
        <v>100</v>
      </c>
      <c r="T46" s="1567" t="s">
        <v>8</v>
      </c>
      <c r="U46" s="1568">
        <f t="shared" si="11"/>
        <v>100</v>
      </c>
      <c r="V46" s="1567" t="s">
        <v>8</v>
      </c>
      <c r="W46" s="1568">
        <f t="shared" si="12"/>
        <v>100</v>
      </c>
      <c r="X46" s="1561"/>
      <c r="Y46" s="3493"/>
      <c r="Z46" s="1569">
        <f t="shared" si="13"/>
        <v>111</v>
      </c>
      <c r="AA46" s="1570">
        <f t="shared" si="3"/>
        <v>1</v>
      </c>
      <c r="AB46" s="1570">
        <f t="shared" si="4"/>
        <v>1</v>
      </c>
      <c r="AC46" s="1570">
        <f t="shared" si="5"/>
        <v>1</v>
      </c>
    </row>
    <row r="47" spans="1:29" s="1334"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493"/>
      <c r="Q47" s="1566">
        <f t="shared" si="14"/>
        <v>111</v>
      </c>
      <c r="R47" s="1571" t="s">
        <v>8</v>
      </c>
      <c r="S47" s="1572">
        <f t="shared" si="10"/>
        <v>100</v>
      </c>
      <c r="T47" s="1571" t="s">
        <v>8</v>
      </c>
      <c r="U47" s="1572">
        <f t="shared" si="11"/>
        <v>100</v>
      </c>
      <c r="V47" s="1571" t="s">
        <v>8</v>
      </c>
      <c r="W47" s="1572">
        <f t="shared" si="12"/>
        <v>100</v>
      </c>
      <c r="X47" s="1573"/>
      <c r="Y47" s="3493"/>
      <c r="Z47" s="1574">
        <f t="shared" si="13"/>
        <v>111</v>
      </c>
      <c r="AA47" s="1570">
        <f t="shared" si="3"/>
        <v>1</v>
      </c>
      <c r="AB47" s="1570">
        <f t="shared" si="4"/>
        <v>1</v>
      </c>
      <c r="AC47" s="1570">
        <f t="shared" si="5"/>
        <v>1</v>
      </c>
    </row>
    <row r="48" spans="1:29" ht="20.25">
      <c r="A48" s="604" t="s">
        <v>556</v>
      </c>
      <c r="B48" s="605" t="s">
        <v>4221</v>
      </c>
      <c r="C48" s="606" t="s">
        <v>1</v>
      </c>
      <c r="D48" s="607"/>
      <c r="E48" s="608">
        <f>ROUND(土地案例!N3,0)</f>
        <v>18164</v>
      </c>
      <c r="F48" s="609"/>
      <c r="G48" s="610">
        <f>ROUND(土地案例!N5,0)</f>
        <v>16599</v>
      </c>
      <c r="H48" s="611"/>
      <c r="I48" s="608">
        <f>ROUND(土地案例!N8,0)</f>
        <v>17477</v>
      </c>
      <c r="J48" s="611"/>
      <c r="K48" s="1335"/>
      <c r="L48" s="2138"/>
      <c r="M48" s="2126"/>
      <c r="N48" s="2126"/>
      <c r="O48" s="2139"/>
      <c r="P48" s="3488" t="str">
        <f>A48</f>
        <v>成交单价</v>
      </c>
      <c r="Q48" s="3488"/>
      <c r="R48" s="3502">
        <f>E48</f>
        <v>18164</v>
      </c>
      <c r="S48" s="3502"/>
      <c r="T48" s="3502">
        <f>G48</f>
        <v>16599</v>
      </c>
      <c r="U48" s="3502"/>
      <c r="V48" s="3502">
        <f>I48</f>
        <v>17477</v>
      </c>
      <c r="W48" s="3502"/>
      <c r="X48" s="1553"/>
      <c r="Y48" s="1575"/>
      <c r="Z48" s="1553"/>
      <c r="AA48" s="1553"/>
      <c r="AB48" s="1553"/>
      <c r="AC48" s="1553"/>
    </row>
    <row r="49" spans="1:29" ht="21" thickBot="1">
      <c r="A49" s="612" t="s">
        <v>2694</v>
      </c>
      <c r="B49" s="613"/>
      <c r="C49" s="614">
        <f>R50</f>
        <v>19623</v>
      </c>
      <c r="D49" s="615"/>
      <c r="E49" s="614">
        <f>R49</f>
        <v>19715</v>
      </c>
      <c r="F49" s="616"/>
      <c r="G49" s="617">
        <f>T49</f>
        <v>17834</v>
      </c>
      <c r="H49" s="615"/>
      <c r="I49" s="614">
        <f>V49</f>
        <v>21319</v>
      </c>
      <c r="J49" s="615"/>
      <c r="K49" s="1336"/>
      <c r="L49" s="2138"/>
      <c r="M49" s="2126"/>
      <c r="N49" s="2126"/>
      <c r="O49" s="2139"/>
      <c r="P49" s="3488" t="str">
        <f>A49</f>
        <v>比较价格（元/平方米）</v>
      </c>
      <c r="Q49" s="3488"/>
      <c r="R49" s="3512">
        <f>ROUND(PRODUCT(R48,AA9:AA47),0)</f>
        <v>19715</v>
      </c>
      <c r="S49" s="3512"/>
      <c r="T49" s="3512">
        <f>ROUND(PRODUCT(T48,AB9:AB47),0)</f>
        <v>17834</v>
      </c>
      <c r="U49" s="3512"/>
      <c r="V49" s="3512">
        <f>ROUND(PRODUCT(V48,AC9:AC47),0)</f>
        <v>21319</v>
      </c>
      <c r="W49" s="3512"/>
      <c r="X49" s="1553"/>
      <c r="Y49" s="1553"/>
      <c r="Z49" s="1553"/>
      <c r="AA49" s="1553"/>
      <c r="AB49" s="1553"/>
      <c r="AC49" s="1553"/>
    </row>
    <row r="50" spans="1:29" ht="21" thickBot="1">
      <c r="A50" s="618" t="s">
        <v>2930</v>
      </c>
      <c r="B50" s="619"/>
      <c r="C50" s="620">
        <f>R50</f>
        <v>19623</v>
      </c>
      <c r="D50" s="620"/>
      <c r="E50" s="620"/>
      <c r="F50" s="620"/>
      <c r="G50" s="620"/>
      <c r="H50" s="620"/>
      <c r="I50" s="620"/>
      <c r="J50" s="620"/>
      <c r="K50" s="1337"/>
      <c r="L50" s="2138"/>
      <c r="M50" s="2126"/>
      <c r="N50" s="2126"/>
      <c r="O50" s="2139"/>
      <c r="P50" s="3509" t="str">
        <f>A50</f>
        <v>估价对象XX用房的比较价格（楼面单价，元/平方米）</v>
      </c>
      <c r="Q50" s="3510"/>
      <c r="R50" s="3511">
        <f>ROUND(AVERAGE(R49:V49),0)</f>
        <v>19623</v>
      </c>
      <c r="S50" s="3511"/>
      <c r="T50" s="3511"/>
      <c r="U50" s="3511"/>
      <c r="V50" s="3511"/>
      <c r="W50" s="3511"/>
      <c r="X50" s="1553"/>
      <c r="Y50" s="1553"/>
      <c r="Z50" s="1553"/>
      <c r="AA50" s="1553"/>
      <c r="AB50" s="1553"/>
      <c r="AC50" s="1553"/>
    </row>
    <row r="51" spans="1:29" ht="20.25">
      <c r="A51" s="2139"/>
      <c r="B51" s="2139"/>
      <c r="C51" s="2139"/>
      <c r="D51" s="2139"/>
      <c r="E51" s="2139"/>
      <c r="F51" s="2139"/>
      <c r="G51" s="2142"/>
      <c r="H51" s="2139"/>
      <c r="I51" s="2139"/>
      <c r="J51" s="2139"/>
      <c r="K51" s="2143"/>
      <c r="L51" s="2144"/>
      <c r="M51" s="2126"/>
      <c r="N51" s="2126"/>
      <c r="O51" s="2139"/>
      <c r="P51" s="1553"/>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3"/>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8.5388680907289238E-2</v>
      </c>
      <c r="F53" s="624" t="str">
        <f>IF(OR(E53&gt;=0.3,E53&lt;=-0.3),"超过30%","")</f>
        <v/>
      </c>
      <c r="G53" s="623">
        <f>IF(G48&lt;G49,G49/G48-1,G48/G49-1)</f>
        <v>7.4402072414000875E-2</v>
      </c>
      <c r="H53" s="624" t="str">
        <f>IF(OR(G53&gt;=0.3,G53&lt;=-0.3),"超过30%","")</f>
        <v/>
      </c>
      <c r="I53" s="623">
        <f>IF(I48&lt;I49,I49/I48-1,I48/I49-1)</f>
        <v>0.21983177890942374</v>
      </c>
      <c r="J53" s="624" t="str">
        <f>IF(OR(I53&gt;=0.3,I53&lt;=-0.3),"超过30%","")</f>
        <v/>
      </c>
      <c r="K53" s="2143"/>
      <c r="L53" s="2144"/>
      <c r="M53" s="2126"/>
      <c r="N53" s="2126"/>
      <c r="O53" s="2139"/>
      <c r="P53" s="1553"/>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0.10547269260962211</v>
      </c>
      <c r="F54" s="624" t="str">
        <f>IF(OR(E54&gt;=0.2,E54&lt;=-0.2),"超过20%","")</f>
        <v/>
      </c>
      <c r="G54" s="623">
        <f>IF(G49&lt;I49,I49/G49-1,G49/I49-1)</f>
        <v>0.19541325557923073</v>
      </c>
      <c r="H54" s="624" t="str">
        <f>IF(OR(G54&gt;=0.2,G54&lt;=-0.2),"超过20%","")</f>
        <v/>
      </c>
      <c r="I54" s="623">
        <f>IF(I49&lt;E49,E49/I49-1,I49/E49-1)</f>
        <v>8.1359371037281303E-2</v>
      </c>
      <c r="J54" s="624" t="str">
        <f>IF(OR(I54&gt;=0.2,I54&lt;=-0.2),"超过20%","")</f>
        <v/>
      </c>
      <c r="K54" s="2143"/>
      <c r="L54" s="2144"/>
      <c r="M54" s="2126"/>
      <c r="N54" s="2126"/>
      <c r="O54" s="2139"/>
      <c r="P54" s="1553"/>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f>IF(E48&lt;G48,G48/E48-1,E48/G48-1)</f>
        <v>9.4282788119766314E-2</v>
      </c>
      <c r="F55" s="624" t="str">
        <f>IF(OR(E55&gt;=0.3,E55&lt;=-0.3),"超过30%","")</f>
        <v/>
      </c>
      <c r="G55" s="623">
        <f>IF(G48&lt;I48,I48/G48-1,G48/I48-1)</f>
        <v>5.2894752695945568E-2</v>
      </c>
      <c r="H55" s="624" t="str">
        <f>IF(OR(G55&gt;=0.3,G55&lt;=-0.3),"超过30%","")</f>
        <v/>
      </c>
      <c r="I55" s="623">
        <f>IF(I48&lt;E48,E48/I48-1,I48/E48-1)</f>
        <v>3.9308805859129103E-2</v>
      </c>
      <c r="J55" s="624" t="str">
        <f>IF(OR(I55&gt;=0.3,I55&lt;=-0.3),"超过30%","")</f>
        <v/>
      </c>
      <c r="K55" s="2146"/>
      <c r="L55" s="2147"/>
      <c r="M55" s="2126"/>
      <c r="N55" s="2126"/>
      <c r="O55" s="2140"/>
      <c r="P55" s="1551"/>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1"/>
      <c r="Q56" s="2140"/>
      <c r="R56" s="2140"/>
      <c r="S56" s="2140"/>
      <c r="T56" s="2140"/>
      <c r="U56" s="2140"/>
      <c r="V56" s="2140"/>
      <c r="W56" s="2140"/>
      <c r="X56" s="2140"/>
      <c r="Y56" s="2140"/>
      <c r="Z56" s="2140"/>
      <c r="AA56" s="2140"/>
      <c r="AB56" s="2140"/>
      <c r="AC56" s="2140"/>
    </row>
    <row r="57" spans="1:29" ht="26.25" customHeight="1">
      <c r="A57" s="626" t="s">
        <v>560</v>
      </c>
      <c r="B57" s="627" t="s">
        <v>561</v>
      </c>
      <c r="C57" s="1554" t="s">
        <v>1724</v>
      </c>
      <c r="D57" s="2221" t="s">
        <v>2293</v>
      </c>
      <c r="E57" s="628" t="s">
        <v>562</v>
      </c>
      <c r="F57" s="629" t="s">
        <v>563</v>
      </c>
      <c r="G57" s="3472" t="s">
        <v>2281</v>
      </c>
      <c r="H57" s="3473"/>
      <c r="I57" s="1549" t="s">
        <v>1722</v>
      </c>
      <c r="J57" s="1549" t="str">
        <f>项目基本情况!F41</f>
        <v>天津市</v>
      </c>
      <c r="K57" s="2148" t="s">
        <v>1723</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0" t="s">
        <v>564</v>
      </c>
      <c r="B58" s="631">
        <f>C50</f>
        <v>19623</v>
      </c>
      <c r="C58" s="632">
        <v>1</v>
      </c>
      <c r="D58" s="2222">
        <v>1</v>
      </c>
      <c r="E58" s="632">
        <f>'数据-汇总表'!E8+'数据-汇总表'!E9</f>
        <v>70023.53999999995</v>
      </c>
      <c r="F58" s="633">
        <f t="shared" ref="F58:F67" si="15">ROUND(B58*E58/10000,0)</f>
        <v>137407</v>
      </c>
      <c r="G58" s="3474"/>
      <c r="H58" s="3475"/>
      <c r="I58" s="1550">
        <v>1</v>
      </c>
      <c r="J58" s="1550">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565</v>
      </c>
      <c r="B59" s="635">
        <f>ROUND($C$50*C59*D59,0)</f>
        <v>0</v>
      </c>
      <c r="C59" s="375">
        <f t="shared" ref="C59:C67" si="16">IF($C$57="北京市系数",I59,J59)</f>
        <v>0</v>
      </c>
      <c r="D59" s="2223">
        <v>0.25</v>
      </c>
      <c r="E59" s="636">
        <v>0</v>
      </c>
      <c r="F59" s="633">
        <f t="shared" si="15"/>
        <v>0</v>
      </c>
      <c r="G59" s="3476" t="s">
        <v>2282</v>
      </c>
      <c r="H59" s="1942">
        <f>项目基本情况!B43</f>
        <v>0</v>
      </c>
      <c r="I59" s="1550">
        <f>SUMIF(修正!$A$45:$A$56,H59,修正!B45:B56)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566</v>
      </c>
      <c r="B60" s="635">
        <f t="shared" ref="B60:B67" si="17">ROUND($C$50*C60*D60,0)</f>
        <v>0</v>
      </c>
      <c r="C60" s="375">
        <f t="shared" si="16"/>
        <v>0</v>
      </c>
      <c r="D60" s="2223">
        <v>0.25</v>
      </c>
      <c r="E60" s="636">
        <v>0</v>
      </c>
      <c r="F60" s="633">
        <f t="shared" si="15"/>
        <v>0</v>
      </c>
      <c r="G60" s="3476"/>
      <c r="H60" s="1942">
        <f>项目基本情况!B43</f>
        <v>0</v>
      </c>
      <c r="I60" s="1550">
        <f>SUMIF(修正!$A$45:$A$56,H60,修正!C45:C56)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567</v>
      </c>
      <c r="B61" s="635">
        <f t="shared" si="17"/>
        <v>0</v>
      </c>
      <c r="C61" s="375">
        <f t="shared" si="16"/>
        <v>0</v>
      </c>
      <c r="D61" s="2223">
        <v>0.25</v>
      </c>
      <c r="E61" s="636">
        <v>0</v>
      </c>
      <c r="F61" s="633">
        <f t="shared" si="15"/>
        <v>0</v>
      </c>
      <c r="G61" s="3476"/>
      <c r="H61" s="1942">
        <f>项目基本情况!B43</f>
        <v>0</v>
      </c>
      <c r="I61" s="1550">
        <f>SUMIF(修正!$A$45:$A$56,H61,修正!D45:D56)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4" t="s">
        <v>568</v>
      </c>
      <c r="B62" s="635">
        <f t="shared" si="17"/>
        <v>0</v>
      </c>
      <c r="C62" s="375">
        <f t="shared" si="16"/>
        <v>0</v>
      </c>
      <c r="D62" s="2223">
        <v>0.25</v>
      </c>
      <c r="E62" s="636">
        <v>0</v>
      </c>
      <c r="F62" s="633">
        <f t="shared" si="15"/>
        <v>0</v>
      </c>
      <c r="G62" s="3476"/>
      <c r="H62" s="1942">
        <f>项目基本情况!B43</f>
        <v>0</v>
      </c>
      <c r="I62" s="1550">
        <f>SUMIF(修正!$A$45:$A$56,H62,修正!E45:E56)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3" t="s">
        <v>2328</v>
      </c>
      <c r="B63" s="635">
        <f t="shared" si="17"/>
        <v>0</v>
      </c>
      <c r="C63" s="375">
        <f t="shared" si="16"/>
        <v>0</v>
      </c>
      <c r="D63" s="2223">
        <v>0.25</v>
      </c>
      <c r="E63" s="638">
        <f>'数据-汇总表'!E11</f>
        <v>0</v>
      </c>
      <c r="F63" s="633">
        <f t="shared" si="15"/>
        <v>0</v>
      </c>
      <c r="G63" s="1939" t="s">
        <v>2283</v>
      </c>
      <c r="H63" s="1942">
        <f>项目基本情况!C43</f>
        <v>0</v>
      </c>
      <c r="I63" s="1550">
        <f>SUMIF(修正!$A$45:$A$56,H63,修正!F45:F56)</f>
        <v>0</v>
      </c>
      <c r="J63" s="1552"/>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4" t="s">
        <v>569</v>
      </c>
      <c r="B64" s="635">
        <f t="shared" si="17"/>
        <v>0</v>
      </c>
      <c r="C64" s="375">
        <f t="shared" si="16"/>
        <v>0</v>
      </c>
      <c r="D64" s="2223">
        <v>0.25</v>
      </c>
      <c r="E64" s="638">
        <f>'数据-汇总表'!E12</f>
        <v>0</v>
      </c>
      <c r="F64" s="633">
        <f t="shared" si="15"/>
        <v>0</v>
      </c>
      <c r="G64" s="1940" t="s">
        <v>1677</v>
      </c>
      <c r="H64" s="1938">
        <f>IF(G64="商业",项目基本情况!B43,IF(G64="办公",项目基本情况!C43,IF(G64="住宅",项目基本情况!D43,项目基本情况!E43)))</f>
        <v>0</v>
      </c>
      <c r="I64" s="1550">
        <f>SUMIF(修正!$A$45:$A$56,H64,修正!G45:G56)</f>
        <v>0</v>
      </c>
      <c r="J64" s="1552"/>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4" t="s">
        <v>570</v>
      </c>
      <c r="B65" s="635">
        <f t="shared" si="17"/>
        <v>0</v>
      </c>
      <c r="C65" s="375">
        <f t="shared" si="16"/>
        <v>0</v>
      </c>
      <c r="D65" s="2223">
        <v>0.25</v>
      </c>
      <c r="E65" s="638">
        <f>'数据-汇总表'!E13</f>
        <v>71600</v>
      </c>
      <c r="F65" s="633">
        <f t="shared" si="15"/>
        <v>0</v>
      </c>
      <c r="G65" s="1940" t="s">
        <v>922</v>
      </c>
      <c r="H65" s="1938">
        <f>IF(G65="商业",项目基本情况!B43,IF(G65="办公",项目基本情况!C43,IF(G65="住宅",项目基本情况!D43,项目基本情况!E43)))</f>
        <v>0</v>
      </c>
      <c r="I65" s="1550">
        <f>SUMIF(修正!$A$45:$A$56,H65,修正!H45:H56)</f>
        <v>0</v>
      </c>
      <c r="J65" s="1552"/>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4" t="s">
        <v>571</v>
      </c>
      <c r="B66" s="635">
        <f t="shared" si="17"/>
        <v>0</v>
      </c>
      <c r="C66" s="375">
        <f t="shared" si="16"/>
        <v>0</v>
      </c>
      <c r="D66" s="2223">
        <v>0.25</v>
      </c>
      <c r="E66" s="638">
        <f>'数据-汇总表'!E14</f>
        <v>0</v>
      </c>
      <c r="F66" s="633">
        <f t="shared" si="15"/>
        <v>0</v>
      </c>
      <c r="G66" s="1939" t="s">
        <v>2282</v>
      </c>
      <c r="H66" s="1942">
        <f>项目基本情况!B43</f>
        <v>0</v>
      </c>
      <c r="I66" s="1550">
        <f>SUMIF(修正!$A$45:$A$56,H66,修正!H45:H56)</f>
        <v>0</v>
      </c>
      <c r="J66" s="1552"/>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4" t="s">
        <v>572</v>
      </c>
      <c r="B67" s="635">
        <f t="shared" si="17"/>
        <v>0</v>
      </c>
      <c r="C67" s="375">
        <f t="shared" si="16"/>
        <v>0</v>
      </c>
      <c r="D67" s="2223">
        <v>0.25</v>
      </c>
      <c r="E67" s="638">
        <f>'数据-汇总表'!E15</f>
        <v>0</v>
      </c>
      <c r="F67" s="633">
        <f t="shared" si="15"/>
        <v>0</v>
      </c>
      <c r="G67" s="1941" t="s">
        <v>2283</v>
      </c>
      <c r="H67" s="1943">
        <f>项目基本情况!C43</f>
        <v>0</v>
      </c>
      <c r="I67" s="1550">
        <f>SUMIF(修正!$A$45:$A$56,H67,修正!H45:H56)</f>
        <v>0</v>
      </c>
      <c r="J67" s="1552"/>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39" t="s">
        <v>573</v>
      </c>
      <c r="B68" s="640" t="s">
        <v>17</v>
      </c>
      <c r="C68" s="640" t="s">
        <v>18</v>
      </c>
      <c r="D68" s="640" t="s">
        <v>2294</v>
      </c>
      <c r="E68" s="640">
        <f>IF(B48="楼面地价",SUM(E58:E67),'数据-汇总表'!D3)</f>
        <v>141623.53999999995</v>
      </c>
      <c r="F68" s="641">
        <f>IF(B48="楼面地价",SUM(F58:F67),ROUND(C50*E68/10000,0))</f>
        <v>137407</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5" t="str">
        <f>YEAR(C9)&amp;"-"&amp;MONTH(C9)&amp;"-1"</f>
        <v>2018-8-1</v>
      </c>
      <c r="D70" s="2815">
        <f>EDATE(C70,-3)</f>
        <v>43221</v>
      </c>
      <c r="E70" s="2815">
        <f t="shared" ref="E70:N70" si="18">EDATE(D70,-3)</f>
        <v>43132</v>
      </c>
      <c r="F70" s="2815">
        <f t="shared" si="18"/>
        <v>43040</v>
      </c>
      <c r="G70" s="2815">
        <f t="shared" si="18"/>
        <v>42948</v>
      </c>
      <c r="H70" s="2815">
        <f t="shared" si="18"/>
        <v>42856</v>
      </c>
      <c r="I70" s="2815">
        <f t="shared" si="18"/>
        <v>42767</v>
      </c>
      <c r="J70" s="2815">
        <f t="shared" si="18"/>
        <v>42675</v>
      </c>
      <c r="K70" s="2815">
        <f t="shared" si="18"/>
        <v>42583</v>
      </c>
      <c r="L70" s="2815">
        <f t="shared" si="18"/>
        <v>42491</v>
      </c>
      <c r="M70" s="2815">
        <f t="shared" si="18"/>
        <v>42401</v>
      </c>
      <c r="N70" s="2815">
        <f t="shared" si="18"/>
        <v>42309</v>
      </c>
      <c r="O70" s="2139"/>
      <c r="P70" s="2139"/>
      <c r="Q70" s="2139"/>
      <c r="R70" s="2139"/>
      <c r="S70" s="2139"/>
      <c r="T70" s="2139"/>
      <c r="U70" s="2139"/>
      <c r="V70" s="2139"/>
      <c r="W70" s="2139"/>
      <c r="X70" s="2139"/>
      <c r="Y70" s="2139"/>
      <c r="Z70" s="2139"/>
      <c r="AA70" s="2139"/>
      <c r="AB70" s="2139"/>
      <c r="AC70" s="2139"/>
    </row>
    <row r="71" spans="1:29" ht="21.75" thickBot="1">
      <c r="A71" s="1578" t="s">
        <v>574</v>
      </c>
      <c r="B71" s="1553"/>
      <c r="C71" s="1577"/>
      <c r="D71" s="1577"/>
      <c r="E71" s="1577"/>
      <c r="F71" s="1579"/>
      <c r="G71" s="1579"/>
      <c r="H71" s="1577"/>
      <c r="I71" s="1577"/>
      <c r="J71" s="1577"/>
      <c r="K71" s="1580"/>
      <c r="L71" s="1576"/>
      <c r="M71" s="1577"/>
      <c r="N71" s="1577"/>
      <c r="O71" s="2151"/>
      <c r="P71" s="2151"/>
      <c r="Q71" s="2152"/>
      <c r="R71" s="2139"/>
      <c r="S71" s="2139"/>
      <c r="T71" s="2139"/>
      <c r="U71" s="2139"/>
      <c r="V71" s="2139"/>
      <c r="W71" s="2139"/>
      <c r="X71" s="2139"/>
      <c r="Y71" s="2139"/>
      <c r="Z71" s="2139"/>
      <c r="AA71" s="2139"/>
      <c r="AB71" s="2139"/>
      <c r="AC71" s="2139"/>
    </row>
    <row r="72" spans="1:29" s="1342" customFormat="1" ht="15">
      <c r="A72" s="2584" t="s">
        <v>2533</v>
      </c>
      <c r="B72" s="2585"/>
      <c r="C72" s="2810" t="str">
        <f>YEAR(C70)&amp;"-"&amp;ROUNDUP(MONTH(C70)/3,0)</f>
        <v>2018-3</v>
      </c>
      <c r="D72" s="2817" t="str">
        <f>YEAR(D70)&amp;"-"&amp;ROUNDUP(MONTH(D70)/3,0)</f>
        <v>2018-2</v>
      </c>
      <c r="E72" s="2817" t="str">
        <f t="shared" ref="E72:N72" si="19">YEAR(E70)&amp;"-"&amp;ROUNDUP(MONTH(E70)/3,0)</f>
        <v>2018-1</v>
      </c>
      <c r="F72" s="2817" t="str">
        <f t="shared" si="19"/>
        <v>2017-4</v>
      </c>
      <c r="G72" s="2817" t="str">
        <f t="shared" si="19"/>
        <v>2017-3</v>
      </c>
      <c r="H72" s="2817" t="str">
        <f t="shared" si="19"/>
        <v>2017-2</v>
      </c>
      <c r="I72" s="2817" t="str">
        <f t="shared" si="19"/>
        <v>2017-1</v>
      </c>
      <c r="J72" s="2817" t="str">
        <f t="shared" si="19"/>
        <v>2016-4</v>
      </c>
      <c r="K72" s="2817" t="str">
        <f t="shared" si="19"/>
        <v>2016-3</v>
      </c>
      <c r="L72" s="2817" t="str">
        <f t="shared" si="19"/>
        <v>2016-2</v>
      </c>
      <c r="M72" s="2817" t="str">
        <f t="shared" si="19"/>
        <v>2016-1</v>
      </c>
      <c r="N72" s="2817" t="str">
        <f t="shared" si="19"/>
        <v>2015-4</v>
      </c>
      <c r="O72" s="2153"/>
      <c r="P72" s="2154"/>
      <c r="Q72" s="2155"/>
      <c r="R72" s="2155"/>
      <c r="S72" s="2155"/>
      <c r="T72" s="2155"/>
      <c r="U72" s="2155"/>
      <c r="V72" s="2155"/>
      <c r="W72" s="2155"/>
      <c r="X72" s="2155"/>
      <c r="Y72" s="2155"/>
      <c r="Z72" s="2155"/>
      <c r="AA72" s="2155"/>
      <c r="AB72" s="2155"/>
      <c r="AC72" s="2155"/>
    </row>
    <row r="73" spans="1:29" s="1215" customFormat="1" ht="27" customHeight="1">
      <c r="A73" s="2822" t="s">
        <v>2648</v>
      </c>
      <c r="B73" s="476" t="str">
        <f>"北京市平均增长率"&amp;TEXT(SUMIF(基准地价!N21:N25,A73,基准地价!P21:P25),"0.00%")</f>
        <v>北京市平均增长率0.00%</v>
      </c>
      <c r="C73" s="891">
        <v>100</v>
      </c>
      <c r="D73" s="727">
        <v>98</v>
      </c>
      <c r="E73" s="727">
        <v>96</v>
      </c>
      <c r="F73" s="727">
        <v>94</v>
      </c>
      <c r="G73" s="727">
        <v>92</v>
      </c>
      <c r="H73" s="727">
        <v>90</v>
      </c>
      <c r="I73" s="727">
        <v>88</v>
      </c>
      <c r="J73" s="727">
        <v>86</v>
      </c>
      <c r="K73" s="727">
        <v>84</v>
      </c>
      <c r="L73" s="727">
        <v>82</v>
      </c>
      <c r="M73" s="727">
        <v>80</v>
      </c>
      <c r="N73" s="727">
        <v>78</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812" t="s">
        <v>2647</v>
      </c>
      <c r="B74" s="2821"/>
      <c r="C74" s="2806"/>
      <c r="D74" s="2807"/>
      <c r="E74" s="2807"/>
      <c r="F74" s="2807"/>
      <c r="G74" s="2807"/>
      <c r="H74" s="2807"/>
      <c r="I74" s="2807"/>
      <c r="J74" s="2807"/>
      <c r="K74" s="2807"/>
      <c r="L74" s="2807"/>
      <c r="M74" s="2807"/>
      <c r="N74" s="2807"/>
      <c r="O74" s="2156"/>
      <c r="P74" s="2152"/>
      <c r="Q74" s="2152"/>
      <c r="R74" s="1987"/>
      <c r="S74" s="1987"/>
      <c r="T74" s="1987"/>
      <c r="U74" s="1987"/>
      <c r="V74" s="1987"/>
      <c r="W74" s="1987"/>
      <c r="X74" s="1987"/>
      <c r="Y74" s="1987"/>
      <c r="Z74" s="1987"/>
      <c r="AA74" s="1987"/>
      <c r="AB74" s="1987"/>
      <c r="AC74" s="1987"/>
    </row>
    <row r="75" spans="1:29" s="1215"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223" t="s">
        <v>4068</v>
      </c>
      <c r="D77" s="3223" t="s">
        <v>4070</v>
      </c>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v>100</v>
      </c>
      <c r="D78" s="668">
        <v>98</v>
      </c>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0">D82&amp;"（含）"&amp;"-"&amp;E82</f>
        <v>1（含）-2</v>
      </c>
      <c r="E81" s="679" t="str">
        <f t="shared" si="20"/>
        <v>2（含）-3</v>
      </c>
      <c r="F81" s="679" t="str">
        <f t="shared" si="20"/>
        <v>3（含）-4</v>
      </c>
      <c r="G81" s="679" t="str">
        <f t="shared" si="20"/>
        <v>4（含）-</v>
      </c>
      <c r="H81" s="679" t="str">
        <f t="shared" si="20"/>
        <v>（含）-</v>
      </c>
      <c r="I81" s="679" t="str">
        <f t="shared" si="20"/>
        <v>（含）-</v>
      </c>
      <c r="J81" s="679" t="str">
        <f t="shared" si="20"/>
        <v>（含）-</v>
      </c>
      <c r="K81" s="679" t="str">
        <f t="shared" si="20"/>
        <v>（含）-</v>
      </c>
      <c r="L81" s="679" t="str">
        <f t="shared" si="20"/>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1">IF($B$48="单位面积地价",D83+$K13,D83-$K13)</f>
        <v>96</v>
      </c>
      <c r="F83" s="676">
        <f t="shared" si="21"/>
        <v>94</v>
      </c>
      <c r="G83" s="676">
        <f t="shared" si="21"/>
        <v>92</v>
      </c>
      <c r="H83" s="676">
        <f t="shared" si="21"/>
        <v>90</v>
      </c>
      <c r="I83" s="676">
        <f t="shared" si="21"/>
        <v>88</v>
      </c>
      <c r="J83" s="676">
        <f t="shared" si="21"/>
        <v>86</v>
      </c>
      <c r="K83" s="676">
        <f t="shared" si="21"/>
        <v>84</v>
      </c>
      <c r="L83" s="676">
        <f t="shared" si="21"/>
        <v>82</v>
      </c>
      <c r="M83" s="676">
        <f t="shared" si="21"/>
        <v>80</v>
      </c>
      <c r="N83" s="2160"/>
      <c r="O83" s="2160"/>
      <c r="P83" s="2159"/>
      <c r="Q83" s="2152"/>
      <c r="R83" s="2139"/>
      <c r="S83" s="2139"/>
      <c r="T83" s="2139"/>
      <c r="U83" s="2139"/>
      <c r="V83" s="2139"/>
      <c r="W83" s="2139"/>
      <c r="X83" s="2139"/>
      <c r="Y83" s="2139"/>
      <c r="Z83" s="2139"/>
      <c r="AA83" s="2139"/>
      <c r="AB83" s="2139"/>
      <c r="AC83" s="2139"/>
    </row>
    <row r="84" spans="1:29" s="1334" customFormat="1" ht="15.75" thickTop="1">
      <c r="A84" s="684"/>
      <c r="B84" s="670" t="str">
        <f>B14</f>
        <v>配建</v>
      </c>
      <c r="C84" s="685"/>
      <c r="D84" s="1370"/>
      <c r="E84" s="1371"/>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4"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4"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4"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4"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98</v>
      </c>
      <c r="E93" s="676">
        <f>D93-$K19</f>
        <v>96</v>
      </c>
      <c r="F93" s="676">
        <f>E93-$K19</f>
        <v>94</v>
      </c>
      <c r="G93" s="676">
        <f>F93-$K19</f>
        <v>92</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4"/>
      <c r="B102" s="1890" t="s">
        <v>2549</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4"/>
      <c r="B104" s="2613" t="s">
        <v>2551</v>
      </c>
      <c r="C104" s="2614" t="s">
        <v>2552</v>
      </c>
      <c r="D104" s="2614" t="s">
        <v>2553</v>
      </c>
      <c r="E104" s="2614" t="s">
        <v>2554</v>
      </c>
      <c r="F104" s="2614" t="s">
        <v>2555</v>
      </c>
      <c r="G104" s="2614" t="s">
        <v>2556</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98</v>
      </c>
      <c r="E107" s="676">
        <f t="shared" ref="E107:M107" si="22">D107-$K33</f>
        <v>96</v>
      </c>
      <c r="F107" s="676">
        <f t="shared" si="22"/>
        <v>94</v>
      </c>
      <c r="G107" s="676">
        <f t="shared" si="22"/>
        <v>92</v>
      </c>
      <c r="H107" s="676">
        <f t="shared" si="22"/>
        <v>90</v>
      </c>
      <c r="I107" s="676">
        <f t="shared" si="22"/>
        <v>88</v>
      </c>
      <c r="J107" s="676">
        <f t="shared" si="22"/>
        <v>86</v>
      </c>
      <c r="K107" s="676">
        <f t="shared" si="22"/>
        <v>84</v>
      </c>
      <c r="L107" s="676">
        <f t="shared" si="22"/>
        <v>82</v>
      </c>
      <c r="M107" s="676">
        <f t="shared" si="22"/>
        <v>80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3224" t="s">
        <v>4071</v>
      </c>
      <c r="D108" s="3224" t="s">
        <v>4072</v>
      </c>
      <c r="E108" s="3224" t="s">
        <v>4073</v>
      </c>
      <c r="F108" s="3224" t="s">
        <v>4075</v>
      </c>
      <c r="G108" s="3224" t="s">
        <v>4077</v>
      </c>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98</v>
      </c>
      <c r="E109" s="676">
        <f t="shared" ref="E109:M109" si="23">D109-$K34</f>
        <v>96</v>
      </c>
      <c r="F109" s="676">
        <f t="shared" si="23"/>
        <v>94</v>
      </c>
      <c r="G109" s="676">
        <f t="shared" si="23"/>
        <v>92</v>
      </c>
      <c r="H109" s="676">
        <f t="shared" si="23"/>
        <v>90</v>
      </c>
      <c r="I109" s="676">
        <f t="shared" si="23"/>
        <v>88</v>
      </c>
      <c r="J109" s="676">
        <f t="shared" si="23"/>
        <v>86</v>
      </c>
      <c r="K109" s="676">
        <f t="shared" si="23"/>
        <v>84</v>
      </c>
      <c r="L109" s="676">
        <f t="shared" si="23"/>
        <v>82</v>
      </c>
      <c r="M109" s="676">
        <f t="shared" si="23"/>
        <v>80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4"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4"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5">C119&amp;"(含)"&amp;"-"&amp;D119</f>
        <v>0(含)-30000</v>
      </c>
      <c r="D118" s="701" t="str">
        <f t="shared" si="25"/>
        <v>30000(含)-60000</v>
      </c>
      <c r="E118" s="701" t="str">
        <f t="shared" si="25"/>
        <v>60000(含)-90000</v>
      </c>
      <c r="F118" s="701" t="str">
        <f t="shared" si="25"/>
        <v>90000(含)-120000</v>
      </c>
      <c r="G118" s="701" t="str">
        <f t="shared" si="25"/>
        <v>120000(含)-150000</v>
      </c>
      <c r="H118" s="701" t="str">
        <f t="shared" si="25"/>
        <v>150000(含)-</v>
      </c>
      <c r="I118" s="701" t="str">
        <f t="shared" si="25"/>
        <v>(含)-</v>
      </c>
      <c r="J118" s="3104" t="str">
        <f t="shared" si="25"/>
        <v>(含)-</v>
      </c>
      <c r="K118" s="3104" t="str">
        <f t="shared" si="25"/>
        <v>(含)-</v>
      </c>
      <c r="L118" s="3105" t="str">
        <f t="shared" si="25"/>
        <v>(含)-</v>
      </c>
      <c r="M118" s="3106"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30000</v>
      </c>
      <c r="E119" s="727">
        <v>60000</v>
      </c>
      <c r="F119" s="727">
        <v>90000</v>
      </c>
      <c r="G119" s="727">
        <v>120000</v>
      </c>
      <c r="H119" s="727">
        <v>150000</v>
      </c>
      <c r="I119" s="727"/>
      <c r="J119" s="2359"/>
      <c r="K119" s="2359"/>
      <c r="L119" s="2360"/>
      <c r="M119" s="2361"/>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v>101</v>
      </c>
      <c r="E120" s="697">
        <v>102</v>
      </c>
      <c r="F120" s="723">
        <v>103</v>
      </c>
      <c r="G120" s="697">
        <v>104</v>
      </c>
      <c r="H120" s="723">
        <v>105</v>
      </c>
      <c r="I120" s="723"/>
      <c r="J120" s="723"/>
      <c r="K120" s="723"/>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225" t="s">
        <v>4078</v>
      </c>
      <c r="D121" s="3225" t="s">
        <v>4079</v>
      </c>
      <c r="E121" s="3225" t="s">
        <v>4081</v>
      </c>
      <c r="F121" s="3225" t="s">
        <v>4082</v>
      </c>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6">C122-$K41</f>
        <v>97</v>
      </c>
      <c r="E122" s="676">
        <f t="shared" si="26"/>
        <v>94</v>
      </c>
      <c r="F122" s="676">
        <f t="shared" si="26"/>
        <v>91</v>
      </c>
      <c r="G122" s="676">
        <f t="shared" si="26"/>
        <v>88</v>
      </c>
      <c r="H122" s="676">
        <f t="shared" si="26"/>
        <v>85</v>
      </c>
      <c r="I122" s="676">
        <f t="shared" si="26"/>
        <v>82</v>
      </c>
      <c r="J122" s="676">
        <f t="shared" si="26"/>
        <v>79</v>
      </c>
      <c r="K122" s="676">
        <f t="shared" si="26"/>
        <v>76</v>
      </c>
      <c r="L122" s="676">
        <f t="shared" si="26"/>
        <v>73</v>
      </c>
      <c r="M122" s="677">
        <f t="shared" si="26"/>
        <v>70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224" t="s">
        <v>4083</v>
      </c>
      <c r="D123" s="3224" t="s">
        <v>4085</v>
      </c>
      <c r="E123" s="3224" t="s">
        <v>4086</v>
      </c>
      <c r="F123" s="3225" t="s">
        <v>4087</v>
      </c>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7">C124-$K42</f>
        <v>98</v>
      </c>
      <c r="E124" s="676">
        <f t="shared" si="27"/>
        <v>96</v>
      </c>
      <c r="F124" s="676">
        <f t="shared" si="27"/>
        <v>94</v>
      </c>
      <c r="G124" s="676">
        <f t="shared" si="27"/>
        <v>92</v>
      </c>
      <c r="H124" s="676">
        <f t="shared" si="27"/>
        <v>90</v>
      </c>
      <c r="I124" s="676">
        <f t="shared" si="27"/>
        <v>88</v>
      </c>
      <c r="J124" s="676">
        <f t="shared" si="27"/>
        <v>86</v>
      </c>
      <c r="K124" s="676">
        <f t="shared" si="27"/>
        <v>84</v>
      </c>
      <c r="L124" s="676">
        <f t="shared" si="27"/>
        <v>82</v>
      </c>
      <c r="M124" s="677">
        <f t="shared" si="27"/>
        <v>80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5"/>
      <c r="B125" s="1890" t="s">
        <v>2426</v>
      </c>
      <c r="C125" s="1370" t="s">
        <v>4088</v>
      </c>
      <c r="D125" s="1370" t="s">
        <v>4089</v>
      </c>
      <c r="E125" s="1370" t="s">
        <v>4090</v>
      </c>
      <c r="F125" s="1370" t="s">
        <v>4091</v>
      </c>
      <c r="G125" s="1370" t="s">
        <v>4093</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4"/>
      <c r="B126" s="675"/>
      <c r="C126" s="676">
        <v>100</v>
      </c>
      <c r="D126" s="676">
        <f>C126-$K43</f>
        <v>98</v>
      </c>
      <c r="E126" s="676">
        <f t="shared" ref="E126:M126" si="28">D126-$K43</f>
        <v>96</v>
      </c>
      <c r="F126" s="676">
        <f t="shared" si="28"/>
        <v>94</v>
      </c>
      <c r="G126" s="676">
        <f t="shared" si="28"/>
        <v>92</v>
      </c>
      <c r="H126" s="676">
        <f t="shared" si="28"/>
        <v>90</v>
      </c>
      <c r="I126" s="676">
        <f t="shared" si="28"/>
        <v>88</v>
      </c>
      <c r="J126" s="676">
        <f t="shared" si="28"/>
        <v>86</v>
      </c>
      <c r="K126" s="676">
        <f t="shared" si="28"/>
        <v>84</v>
      </c>
      <c r="L126" s="676">
        <f t="shared" si="28"/>
        <v>82</v>
      </c>
      <c r="M126" s="677">
        <f t="shared" si="28"/>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224" t="s">
        <v>4094</v>
      </c>
      <c r="D127" s="3224" t="s">
        <v>4096</v>
      </c>
      <c r="E127" s="3225" t="s">
        <v>4098</v>
      </c>
      <c r="F127" s="3225" t="s">
        <v>4100</v>
      </c>
      <c r="G127" s="3225" t="s">
        <v>4101</v>
      </c>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29">C128-$K44</f>
        <v>98</v>
      </c>
      <c r="E128" s="676">
        <f t="shared" si="29"/>
        <v>96</v>
      </c>
      <c r="F128" s="676">
        <f t="shared" si="29"/>
        <v>94</v>
      </c>
      <c r="G128" s="676">
        <f t="shared" si="29"/>
        <v>92</v>
      </c>
      <c r="H128" s="676">
        <f t="shared" si="29"/>
        <v>90</v>
      </c>
      <c r="I128" s="676">
        <f t="shared" si="29"/>
        <v>88</v>
      </c>
      <c r="J128" s="676">
        <f t="shared" si="29"/>
        <v>86</v>
      </c>
      <c r="K128" s="676">
        <f t="shared" si="29"/>
        <v>84</v>
      </c>
      <c r="L128" s="676">
        <f t="shared" si="29"/>
        <v>82</v>
      </c>
      <c r="M128" s="677">
        <f t="shared" si="29"/>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4"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4"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1"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1"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1"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1"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1"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1"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1"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1"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1"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1"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1"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1"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1"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1"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1"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1"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1"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1"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1"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1"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1"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1"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1"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1"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1"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1"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1"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1"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1"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1"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1"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1"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1"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1"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1"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1"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1"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1"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1"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1"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1"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1"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1"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1"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1"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1"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1"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1"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1"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1"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1"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1"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1"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1"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1"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1"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1"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1"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1"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1"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1"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1"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1"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1"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1"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1"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1"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1"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1"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1"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1"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1"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1"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1"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1"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1"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1"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1"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1"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1"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1"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1"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1"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1"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1"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1"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1"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1"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1"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1"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1"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1"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1"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1"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1"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1"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1"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1"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1"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1"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1"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1"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1"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1"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1"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1"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1"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1"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1"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1"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1"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1"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1"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1"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1"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1"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1"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1"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1"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1"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1"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1901</v>
      </c>
      <c r="B36" s="1648" t="s">
        <v>1902</v>
      </c>
    </row>
    <row r="37" spans="1:9" ht="28.5" customHeight="1">
      <c r="A37" s="1648"/>
      <c r="B37" s="3307" t="str">
        <f>项目基本情况!B1</f>
        <v>天津市北辰区北辰道与朝阳路交口出让国有建设用地使用权抵押价格预评估</v>
      </c>
      <c r="C37" s="3307"/>
      <c r="D37" s="3307"/>
      <c r="E37" s="3307"/>
      <c r="F37" s="3307"/>
      <c r="G37" s="3307"/>
      <c r="H37" s="3307"/>
      <c r="I37" s="3307"/>
    </row>
    <row r="38" spans="1:9">
      <c r="A38" s="1650"/>
      <c r="B38" s="1650"/>
    </row>
    <row r="39" spans="1:9">
      <c r="A39" s="1648" t="s">
        <v>1901</v>
      </c>
      <c r="B39" s="1648" t="s">
        <v>2046</v>
      </c>
    </row>
    <row r="40" spans="1:9">
      <c r="A40" s="1648"/>
      <c r="B40" s="1648" t="str">
        <f>项目基本情况!B5</f>
        <v>天津合雨晨置业有限公司</v>
      </c>
    </row>
    <row r="41" spans="1:9">
      <c r="A41" s="1648"/>
      <c r="B41" s="1648"/>
    </row>
    <row r="42" spans="1:9">
      <c r="A42" s="1648" t="s">
        <v>1901</v>
      </c>
      <c r="B42" s="1648" t="s">
        <v>2047</v>
      </c>
    </row>
    <row r="43" spans="1:9">
      <c r="A43" s="1648"/>
      <c r="B43" s="1648" t="s">
        <v>1903</v>
      </c>
    </row>
    <row r="44" spans="1:9">
      <c r="A44" s="1648"/>
      <c r="B44" s="1648"/>
    </row>
    <row r="45" spans="1:9">
      <c r="A45" s="1648" t="s">
        <v>1901</v>
      </c>
      <c r="B45" s="1648" t="s">
        <v>2045</v>
      </c>
    </row>
    <row r="46" spans="1:9" s="1648" customFormat="1" ht="12.75">
      <c r="B46" s="1648" t="str">
        <f>项目基本情况!K4</f>
        <v>吴薇、刘梅</v>
      </c>
    </row>
    <row r="47" spans="1:9">
      <c r="A47" s="1648"/>
      <c r="B47" s="1648"/>
    </row>
    <row r="48" spans="1:9">
      <c r="A48" s="1648" t="s">
        <v>1901</v>
      </c>
      <c r="B48" s="1648" t="s">
        <v>2048</v>
      </c>
    </row>
    <row r="49" spans="2:2">
      <c r="B49" s="164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466</v>
      </c>
      <c r="B1" s="2825"/>
      <c r="C1" s="2098"/>
      <c r="D1" s="2098"/>
      <c r="E1" s="2098"/>
      <c r="F1" s="2098"/>
      <c r="G1" s="2098"/>
      <c r="H1" s="2098"/>
      <c r="I1" s="2098"/>
      <c r="J1" s="2098"/>
      <c r="K1" s="419">
        <f>MATCH(B1,'数据-取费表'!A6:A16,0)+5</f>
        <v>12</v>
      </c>
    </row>
    <row r="2" spans="1:41" s="2035" customFormat="1" ht="18" customHeight="1">
      <c r="A2" s="420" t="s">
        <v>467</v>
      </c>
      <c r="B2" s="421">
        <f ca="1">C32</f>
        <v>0</v>
      </c>
      <c r="C2" s="2098"/>
      <c r="D2" s="2098"/>
      <c r="E2" s="2098"/>
      <c r="F2" s="2098"/>
      <c r="G2" s="2098"/>
      <c r="H2" s="2098"/>
      <c r="I2" s="2098"/>
      <c r="J2" s="2098"/>
      <c r="K2" s="2098"/>
    </row>
    <row r="3" spans="1:41" s="2035" customFormat="1" ht="18" customHeight="1">
      <c r="A3" s="1373" t="s">
        <v>1684</v>
      </c>
      <c r="B3" s="422">
        <f ca="1">ROUND(B2*10000/IF(B1="",'数据-汇总表'!E3,INDIRECT("'数据-取费表'!K"&amp;$K$1)),0)</f>
        <v>0</v>
      </c>
      <c r="C3" s="2098"/>
      <c r="D3" s="2098"/>
      <c r="E3" s="2098"/>
      <c r="F3" s="2098"/>
      <c r="G3" s="2098"/>
      <c r="H3" s="2098"/>
      <c r="I3" s="2098"/>
      <c r="J3" s="2098"/>
      <c r="K3" s="2098"/>
    </row>
    <row r="4" spans="1:41" s="2035" customFormat="1" ht="18" customHeight="1">
      <c r="A4" s="423" t="s">
        <v>468</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469</v>
      </c>
      <c r="D5" s="2098"/>
      <c r="E5" s="2098"/>
      <c r="F5" s="2098"/>
      <c r="G5" s="2098"/>
      <c r="H5" s="2098"/>
      <c r="I5" s="2098"/>
      <c r="J5" s="2098"/>
      <c r="K5" s="2098"/>
    </row>
    <row r="6" spans="1:41" s="2105" customFormat="1" ht="16.5" customHeight="1">
      <c r="A6" s="429" t="s">
        <v>2653</v>
      </c>
      <c r="B6" s="430"/>
      <c r="C6" s="1617">
        <f>SUM(C10:K10)</f>
        <v>0</v>
      </c>
      <c r="D6" s="2103"/>
      <c r="E6" s="2103"/>
      <c r="F6" s="2103"/>
      <c r="G6" s="2103"/>
      <c r="H6" s="2103"/>
      <c r="I6" s="2103"/>
      <c r="J6" s="2103"/>
      <c r="K6" s="2104"/>
    </row>
    <row r="7" spans="1:41" s="2107" customFormat="1" ht="15">
      <c r="A7" s="431" t="s">
        <v>470</v>
      </c>
      <c r="B7" s="432" t="s">
        <v>471</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5" t="s">
        <v>1845</v>
      </c>
      <c r="B8" s="435" t="s">
        <v>472</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5"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6" t="s">
        <v>1847</v>
      </c>
      <c r="B10" s="1618" t="s">
        <v>474</v>
      </c>
      <c r="C10" s="1619"/>
      <c r="D10" s="1619"/>
      <c r="E10" s="1619"/>
      <c r="F10" s="1620"/>
      <c r="G10" s="1620"/>
      <c r="H10" s="1620"/>
      <c r="I10" s="1620"/>
      <c r="J10" s="1620"/>
      <c r="K10" s="1621"/>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4" t="s">
        <v>1864</v>
      </c>
      <c r="B11" s="1615"/>
      <c r="C11" s="1615"/>
      <c r="D11" s="1615"/>
      <c r="E11" s="1615"/>
      <c r="F11" s="1615"/>
      <c r="G11" s="1615"/>
      <c r="H11" s="1615"/>
      <c r="I11" s="1615"/>
      <c r="J11" s="1615"/>
      <c r="K11" s="1616"/>
    </row>
    <row r="12" spans="1:41" s="2079" customFormat="1" ht="13.5" customHeight="1">
      <c r="A12" s="431" t="s">
        <v>470</v>
      </c>
      <c r="B12" s="441" t="s">
        <v>471</v>
      </c>
      <c r="C12" s="442" t="s">
        <v>475</v>
      </c>
      <c r="D12" s="443" t="s">
        <v>476</v>
      </c>
      <c r="E12" s="443" t="s">
        <v>477</v>
      </c>
      <c r="F12" s="443" t="s">
        <v>478</v>
      </c>
      <c r="G12" s="441"/>
      <c r="H12" s="444"/>
      <c r="I12" s="444"/>
      <c r="J12" s="444"/>
      <c r="K12" s="445"/>
    </row>
    <row r="13" spans="1:41" s="2110" customFormat="1" ht="13.5" customHeight="1">
      <c r="A13" s="1627" t="s">
        <v>1848</v>
      </c>
      <c r="B13" s="446" t="s">
        <v>479</v>
      </c>
      <c r="C13" s="447">
        <f ca="1">IF(B1="",'数据-取费表'!M16,INDIRECT("'数据-取费表'!M"&amp;$K$1)+INDIRECT("'数据-取费表'!t"&amp;$K$1))</f>
        <v>35915</v>
      </c>
      <c r="D13" s="448"/>
      <c r="E13" s="362"/>
      <c r="F13" s="449"/>
      <c r="G13" s="441"/>
      <c r="H13" s="444"/>
      <c r="I13" s="444"/>
      <c r="J13" s="444"/>
      <c r="K13" s="445"/>
    </row>
    <row r="14" spans="1:41" s="2110" customFormat="1" ht="13.5" customHeight="1">
      <c r="A14" s="1627" t="s">
        <v>1849</v>
      </c>
      <c r="B14" s="446" t="s">
        <v>480</v>
      </c>
      <c r="C14" s="53">
        <f ca="1">ROUND(C13*F14,0)</f>
        <v>1077</v>
      </c>
      <c r="D14" s="448"/>
      <c r="E14" s="362"/>
      <c r="F14" s="450">
        <f>'数据-取费表'!B33</f>
        <v>0.03</v>
      </c>
      <c r="G14" s="441" t="s">
        <v>502</v>
      </c>
      <c r="H14" s="444"/>
      <c r="I14" s="444"/>
      <c r="J14" s="444"/>
      <c r="K14" s="445"/>
    </row>
    <row r="15" spans="1:41" s="2110" customFormat="1" ht="13.5" customHeight="1">
      <c r="A15" s="1627" t="s">
        <v>1850</v>
      </c>
      <c r="B15" s="446" t="s">
        <v>482</v>
      </c>
      <c r="C15" s="53">
        <f ca="1">ROUND(IF(B1="",SUMIF('数据-取费表'!C:C,"住宅",'数据-取费表'!M:M)*F15,IF(INDIRECT("'数据-取费表'!c"&amp;$K$1)="住宅",INDIRECT("'数据-取费表'!M"&amp;$K$1)*F15,0)),0)</f>
        <v>648</v>
      </c>
      <c r="D15" s="448"/>
      <c r="E15" s="362"/>
      <c r="F15" s="450">
        <f>'数据-取费表'!B34</f>
        <v>0.03</v>
      </c>
      <c r="G15" s="441" t="s">
        <v>502</v>
      </c>
      <c r="H15" s="444"/>
      <c r="I15" s="444"/>
      <c r="J15" s="444"/>
      <c r="K15" s="445"/>
    </row>
    <row r="16" spans="1:41" s="2111" customFormat="1" ht="13.5" customHeight="1">
      <c r="A16" s="1627" t="s">
        <v>1851</v>
      </c>
      <c r="B16" s="446" t="s">
        <v>484</v>
      </c>
      <c r="C16" s="53">
        <f ca="1">ROUND(D16*E16/10000,0)</f>
        <v>2478</v>
      </c>
      <c r="D16" s="448">
        <f ca="1">IF(B1="",'数据-汇总表'!E3,INDIRECT("'数据-取费表'!K"&amp;$K$1)+INDIRECT("'数据-取费表'!S"&amp;$K$1))</f>
        <v>165200.35999999996</v>
      </c>
      <c r="E16" s="53">
        <f>'数据-取费表'!B35</f>
        <v>150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7" t="s">
        <v>1852</v>
      </c>
      <c r="B17" s="446" t="s">
        <v>485</v>
      </c>
      <c r="C17" s="451">
        <f ca="1">ROUND(C13*F17,0)</f>
        <v>539</v>
      </c>
      <c r="D17" s="452"/>
      <c r="E17" s="451"/>
      <c r="F17" s="453">
        <f>'数据-取费表'!B36</f>
        <v>1.4999999999999999E-2</v>
      </c>
      <c r="G17" s="441" t="s">
        <v>502</v>
      </c>
      <c r="H17" s="454"/>
      <c r="I17" s="454"/>
      <c r="J17" s="454"/>
      <c r="K17" s="455"/>
    </row>
    <row r="18" spans="1:14" s="2113" customFormat="1" ht="13.5" customHeight="1">
      <c r="A18" s="1628" t="s">
        <v>1853</v>
      </c>
      <c r="B18" s="456" t="s">
        <v>487</v>
      </c>
      <c r="C18" s="457">
        <f ca="1">SUM(C13:C17)</f>
        <v>40657</v>
      </c>
      <c r="D18" s="458"/>
      <c r="E18" s="459"/>
      <c r="F18" s="459"/>
      <c r="G18" s="1322" t="s">
        <v>2433</v>
      </c>
      <c r="H18" s="444"/>
      <c r="I18" s="444"/>
      <c r="J18" s="444"/>
      <c r="K18" s="445"/>
    </row>
    <row r="19" spans="1:14" s="2113" customFormat="1" ht="13.5" customHeight="1">
      <c r="A19" s="1628" t="s">
        <v>1854</v>
      </c>
      <c r="B19" s="456" t="s">
        <v>493</v>
      </c>
      <c r="C19" s="457">
        <f ca="1">ROUND(C18*F19,0)</f>
        <v>813</v>
      </c>
      <c r="D19" s="459"/>
      <c r="E19" s="459"/>
      <c r="F19" s="463">
        <f>'数据-取费表'!B37</f>
        <v>0.02</v>
      </c>
      <c r="G19" s="441" t="s">
        <v>503</v>
      </c>
      <c r="H19" s="444"/>
      <c r="I19" s="444"/>
      <c r="J19" s="444"/>
      <c r="K19" s="445"/>
      <c r="L19" s="2115"/>
      <c r="M19" s="2115"/>
      <c r="N19" s="2115"/>
    </row>
    <row r="20" spans="1:14" s="2113" customFormat="1" ht="13.5" customHeight="1">
      <c r="A20" s="1628" t="s">
        <v>1855</v>
      </c>
      <c r="B20" s="456" t="s">
        <v>504</v>
      </c>
      <c r="C20" s="3044">
        <f>F20</f>
        <v>0.02</v>
      </c>
      <c r="D20" s="466" t="s">
        <v>505</v>
      </c>
      <c r="E20" s="466"/>
      <c r="F20" s="483">
        <f>'数据-取费表'!B38</f>
        <v>0.02</v>
      </c>
      <c r="G20" s="1322" t="s">
        <v>506</v>
      </c>
      <c r="H20" s="444"/>
      <c r="I20" s="444"/>
      <c r="J20" s="444"/>
      <c r="K20" s="445"/>
      <c r="L20" s="2115"/>
      <c r="M20" s="2115"/>
      <c r="N20" s="2115"/>
    </row>
    <row r="21" spans="1:14" s="2115" customFormat="1" ht="13.5" customHeight="1">
      <c r="A21" s="1628" t="s">
        <v>1858</v>
      </c>
      <c r="B21" s="458" t="s">
        <v>494</v>
      </c>
      <c r="C21" s="467">
        <f ca="1">C22</f>
        <v>1970</v>
      </c>
      <c r="D21" s="464">
        <f ca="1">C23</f>
        <v>1E-3</v>
      </c>
      <c r="E21" s="466" t="s">
        <v>507</v>
      </c>
      <c r="F21" s="468">
        <f ca="1">'数据-取费表'!B40</f>
        <v>4.7500000000000001E-2</v>
      </c>
      <c r="G21" s="1322"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7" t="s">
        <v>1848</v>
      </c>
      <c r="B22" s="1323" t="s">
        <v>2436</v>
      </c>
      <c r="C22" s="484">
        <f ca="1">ROUND(IF('数据-取费表'!B22&lt;=1,(C18+C19)*F21*'数据-取费表'!B20/2,(C18+C19)*(POWER((1+F21),'数据-取费表'!B20/2)-1)),0)</f>
        <v>1970</v>
      </c>
      <c r="D22" s="469"/>
      <c r="E22" s="470"/>
      <c r="F22" s="471"/>
      <c r="G22" s="2583" t="str">
        <f>IF('数据-取费表'!B22&lt;=1,"((1)+(2))×年利率×建设期÷2","((1)+(2))×((1+年利率)^(建设期÷2)-1)")</f>
        <v>((1)+(2))×((1+年利率)^(建设期÷2)-1)</v>
      </c>
      <c r="H22" s="454"/>
      <c r="I22" s="454"/>
      <c r="J22" s="454"/>
      <c r="K22" s="455"/>
    </row>
    <row r="23" spans="1:14" s="2114" customFormat="1" ht="13.5" customHeight="1">
      <c r="A23" s="1627" t="s">
        <v>1849</v>
      </c>
      <c r="B23" s="1323" t="s">
        <v>508</v>
      </c>
      <c r="C23" s="485">
        <f ca="1">ROUND(IF('数据-取费表'!B22&lt;=1,F20*F21*'数据-取费表'!B20/2,F20*(POWER((1+F21),'数据-取费表'!B20/2)-1)),4)</f>
        <v>1E-3</v>
      </c>
      <c r="D23" s="469"/>
      <c r="E23" s="470"/>
      <c r="F23" s="471"/>
      <c r="G23" s="2583" t="str">
        <f>IF('数据-取费表'!B22&lt;=1,"销售费用率×年利率×建设期÷2","销售费用率×((1+年利率)^(建设期÷2)-1)")</f>
        <v>销售费用率×((1+年利率)^(建设期÷2)-1)</v>
      </c>
      <c r="H23" s="454"/>
      <c r="I23" s="454"/>
      <c r="J23" s="454"/>
      <c r="K23" s="455"/>
    </row>
    <row r="24" spans="1:14" s="2114" customFormat="1" ht="13.5" customHeight="1">
      <c r="A24" s="1628" t="s">
        <v>1859</v>
      </c>
      <c r="B24" s="3046" t="s">
        <v>2833</v>
      </c>
      <c r="C24" s="475">
        <f ca="1">C25</f>
        <v>2903</v>
      </c>
      <c r="D24" s="486">
        <f ca="1">C26</f>
        <v>1.4E-3</v>
      </c>
      <c r="E24" s="466" t="s">
        <v>507</v>
      </c>
      <c r="F24" s="476">
        <f ca="1">IF(B1="",'数据-取费表'!Q16,INDIRECT("'数据-取费表'!q"&amp;$K$1))</f>
        <v>7.0000000000000007E-2</v>
      </c>
      <c r="G24" s="441"/>
      <c r="H24" s="444"/>
      <c r="I24" s="444"/>
      <c r="J24" s="444"/>
      <c r="K24" s="445"/>
    </row>
    <row r="25" spans="1:14" s="2114" customFormat="1" ht="13.5" customHeight="1">
      <c r="A25" s="1627" t="s">
        <v>1848</v>
      </c>
      <c r="B25" s="1323" t="s">
        <v>2437</v>
      </c>
      <c r="C25" s="487">
        <f ca="1">ROUND((C18+C19)*F24,0)</f>
        <v>2903</v>
      </c>
      <c r="D25" s="469"/>
      <c r="E25" s="470"/>
      <c r="F25" s="477"/>
      <c r="G25" s="1321" t="s">
        <v>2434</v>
      </c>
      <c r="H25" s="454"/>
      <c r="I25" s="454"/>
      <c r="J25" s="454"/>
      <c r="K25" s="455"/>
    </row>
    <row r="26" spans="1:14" s="2114" customFormat="1" ht="13.5" customHeight="1">
      <c r="A26" s="1627" t="s">
        <v>1849</v>
      </c>
      <c r="B26" s="1323" t="s">
        <v>509</v>
      </c>
      <c r="C26" s="488">
        <f ca="1">ROUND(F20*F24,4)</f>
        <v>1.4E-3</v>
      </c>
      <c r="D26" s="469"/>
      <c r="E26" s="478"/>
      <c r="F26" s="477"/>
      <c r="G26" s="1321" t="s">
        <v>510</v>
      </c>
      <c r="H26" s="454"/>
      <c r="I26" s="454"/>
      <c r="J26" s="454"/>
      <c r="K26" s="455"/>
    </row>
    <row r="27" spans="1:14" s="2114" customFormat="1" ht="13.5" customHeight="1">
      <c r="A27" s="1631" t="s">
        <v>1867</v>
      </c>
      <c r="B27" s="456" t="s">
        <v>511</v>
      </c>
      <c r="C27" s="3045">
        <f>ROUND(F27/(1+'数据-取费表'!C42),4)</f>
        <v>5.3800000000000001E-2</v>
      </c>
      <c r="D27" s="459" t="s">
        <v>2831</v>
      </c>
      <c r="E27" s="459"/>
      <c r="F27" s="463">
        <f>'数据-取费表'!B41</f>
        <v>5.6500000000000002E-2</v>
      </c>
      <c r="G27" s="1954" t="s">
        <v>2291</v>
      </c>
      <c r="H27" s="444"/>
      <c r="I27" s="444"/>
      <c r="J27" s="444"/>
      <c r="K27" s="445"/>
    </row>
    <row r="28" spans="1:14" s="2115" customFormat="1" ht="13.5" customHeight="1">
      <c r="A28" s="1631" t="s">
        <v>1868</v>
      </c>
      <c r="B28" s="473" t="s">
        <v>512</v>
      </c>
      <c r="C28" s="467">
        <f ca="1">ROUND((C18+C19+C21+C24)/(1-C20-D21-D24-C27),0)</f>
        <v>50166</v>
      </c>
      <c r="D28" s="474"/>
      <c r="E28" s="466"/>
      <c r="F28" s="468"/>
      <c r="G28" s="1322" t="s">
        <v>2435</v>
      </c>
      <c r="H28" s="444"/>
      <c r="I28" s="444"/>
      <c r="J28" s="444"/>
      <c r="K28" s="445"/>
    </row>
    <row r="29" spans="1:14" s="2115" customFormat="1" ht="13.5" customHeight="1">
      <c r="A29" s="1631" t="s">
        <v>1869</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4" t="s">
        <v>515</v>
      </c>
      <c r="H30" s="493"/>
      <c r="I30" s="493"/>
      <c r="J30" s="444"/>
      <c r="K30" s="445"/>
    </row>
    <row r="31" spans="1:14" s="2120" customFormat="1" ht="13.5" customHeight="1">
      <c r="A31" s="2498" t="s">
        <v>1865</v>
      </c>
      <c r="B31" s="1325"/>
      <c r="C31" s="497">
        <f>ROUND(C6*F31/(1+'数据-取费表'!C42),0)</f>
        <v>0</v>
      </c>
      <c r="D31" s="1326"/>
      <c r="E31" s="1326"/>
      <c r="F31" s="498">
        <f>'数据-取费表'!B41</f>
        <v>5.6500000000000002E-2</v>
      </c>
      <c r="G31" s="1327"/>
      <c r="H31" s="1327"/>
      <c r="I31" s="1327"/>
      <c r="J31" s="1328"/>
      <c r="K31" s="1329"/>
    </row>
    <row r="32" spans="1:14" s="2079"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99"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516</v>
      </c>
      <c r="B1" s="500"/>
      <c r="C1" s="501" t="s">
        <v>597</v>
      </c>
      <c r="D1" s="502" t="s">
        <v>518</v>
      </c>
      <c r="E1" s="734"/>
      <c r="F1" s="735"/>
      <c r="G1" s="734"/>
      <c r="H1" s="734"/>
      <c r="I1" s="734"/>
      <c r="J1" s="734"/>
      <c r="K1" s="736"/>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505" t="e">
        <f>F63</f>
        <v>#DIV/0!</v>
      </c>
      <c r="C2" s="2122"/>
      <c r="D2" s="2122"/>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c r="A3" s="1374" t="s">
        <v>1685</v>
      </c>
      <c r="B3" s="507" t="e">
        <f>ROUND(B2*10000/'数据-汇总表'!E3,0)</f>
        <v>#DIV/0!</v>
      </c>
      <c r="C3" s="2055"/>
      <c r="D3" s="2055"/>
      <c r="E3" s="2055"/>
      <c r="F3" s="2055"/>
      <c r="G3" s="2122"/>
      <c r="H3" s="2122"/>
      <c r="I3" s="2122"/>
      <c r="J3" s="2122"/>
      <c r="K3" s="2124"/>
      <c r="L3" s="2125"/>
      <c r="M3" s="2126"/>
      <c r="N3" s="2126"/>
      <c r="O3" s="2126"/>
      <c r="P3" s="1558"/>
      <c r="Q3" s="1558"/>
      <c r="R3" s="1558"/>
      <c r="S3" s="1558"/>
      <c r="T3" s="1558"/>
      <c r="U3" s="1558"/>
      <c r="V3" s="1558"/>
      <c r="W3" s="1558"/>
      <c r="X3" s="1558"/>
      <c r="Y3" s="1558"/>
      <c r="Z3" s="1558"/>
      <c r="AA3" s="1558"/>
      <c r="AB3" s="425"/>
      <c r="AC3" s="425"/>
    </row>
    <row r="4" spans="1:29" s="1331"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8"/>
      <c r="Q4" s="1558"/>
      <c r="R4" s="1558"/>
      <c r="S4" s="1558"/>
      <c r="T4" s="1558"/>
      <c r="U4" s="1558"/>
      <c r="V4" s="1558"/>
      <c r="W4" s="1558"/>
      <c r="X4" s="1558"/>
      <c r="Y4" s="1558"/>
      <c r="Z4" s="1558"/>
      <c r="AA4" s="1558"/>
      <c r="AB4" s="1558"/>
      <c r="AC4" s="425"/>
    </row>
    <row r="5" spans="1:29" s="1331" customFormat="1" ht="28.5" customHeight="1" thickBot="1">
      <c r="A5" s="426"/>
      <c r="B5" s="427" t="e">
        <f>ROUND(B2/('数据-汇总表'!D3/666.67),0)</f>
        <v>#DIV/0!</v>
      </c>
      <c r="C5" s="428" t="s">
        <v>469</v>
      </c>
      <c r="D5" s="2055"/>
      <c r="E5" s="2055"/>
      <c r="F5" s="2055"/>
      <c r="G5" s="2122"/>
      <c r="H5" s="2122"/>
      <c r="I5" s="2122"/>
      <c r="J5" s="2122"/>
      <c r="K5" s="2124"/>
      <c r="L5" s="2125"/>
      <c r="M5" s="2126"/>
      <c r="N5" s="2126"/>
      <c r="O5" s="2126"/>
      <c r="P5" s="1558"/>
      <c r="Q5" s="1558"/>
      <c r="R5" s="1558"/>
      <c r="S5" s="1558"/>
      <c r="T5" s="1558"/>
      <c r="U5" s="1558"/>
      <c r="V5" s="1558"/>
      <c r="W5" s="1558"/>
      <c r="X5" s="1558"/>
      <c r="Y5" s="1558"/>
      <c r="Z5" s="1558"/>
      <c r="AA5" s="1558"/>
      <c r="AB5" s="1560"/>
      <c r="AC5" s="425"/>
    </row>
    <row r="6" spans="1:29" ht="15">
      <c r="A6" s="509" t="s">
        <v>521</v>
      </c>
      <c r="B6" s="510"/>
      <c r="C6" s="3494" t="s">
        <v>522</v>
      </c>
      <c r="D6" s="3495"/>
      <c r="E6" s="3518" t="s">
        <v>523</v>
      </c>
      <c r="F6" s="3519"/>
      <c r="G6" s="3494" t="s">
        <v>524</v>
      </c>
      <c r="H6" s="3495"/>
      <c r="I6" s="3494" t="s">
        <v>525</v>
      </c>
      <c r="J6" s="3495"/>
      <c r="K6" s="511" t="s">
        <v>526</v>
      </c>
      <c r="L6" s="2127"/>
      <c r="M6" s="2128"/>
      <c r="N6" s="2128"/>
      <c r="O6" s="2128"/>
      <c r="P6" s="3496" t="s">
        <v>527</v>
      </c>
      <c r="Q6" s="3497"/>
      <c r="R6" s="3482" t="s">
        <v>523</v>
      </c>
      <c r="S6" s="3483"/>
      <c r="T6" s="3482" t="s">
        <v>524</v>
      </c>
      <c r="U6" s="3483"/>
      <c r="V6" s="3502" t="s">
        <v>525</v>
      </c>
      <c r="W6" s="3502"/>
      <c r="X6" s="1561"/>
      <c r="Y6" s="3482" t="s">
        <v>527</v>
      </c>
      <c r="Z6" s="3483"/>
      <c r="AA6" s="3477" t="s">
        <v>523</v>
      </c>
      <c r="AB6" s="3478" t="s">
        <v>524</v>
      </c>
      <c r="AC6" s="3477" t="s">
        <v>525</v>
      </c>
    </row>
    <row r="7" spans="1:29" ht="15">
      <c r="A7" s="512"/>
      <c r="B7" s="513"/>
      <c r="C7" s="3505" t="s">
        <v>2924</v>
      </c>
      <c r="D7" s="3506"/>
      <c r="E7" s="3520" t="s">
        <v>2925</v>
      </c>
      <c r="F7" s="3521"/>
      <c r="G7" s="3505" t="s">
        <v>2926</v>
      </c>
      <c r="H7" s="3506"/>
      <c r="I7" s="3505" t="s">
        <v>2927</v>
      </c>
      <c r="J7" s="3506"/>
      <c r="K7" s="511"/>
      <c r="L7" s="2127"/>
      <c r="M7" s="2128"/>
      <c r="N7" s="2128"/>
      <c r="O7" s="2128"/>
      <c r="P7" s="3498"/>
      <c r="Q7" s="3499"/>
      <c r="R7" s="3484"/>
      <c r="S7" s="3485"/>
      <c r="T7" s="3484"/>
      <c r="U7" s="3485"/>
      <c r="V7" s="3502"/>
      <c r="W7" s="3502"/>
      <c r="X7" s="1561"/>
      <c r="Y7" s="3484"/>
      <c r="Z7" s="3485"/>
      <c r="AA7" s="3478"/>
      <c r="AB7" s="3478"/>
      <c r="AC7" s="3478"/>
    </row>
    <row r="8" spans="1:29" ht="15.75" thickBot="1">
      <c r="A8" s="514"/>
      <c r="B8" s="515"/>
      <c r="C8" s="3503" t="s">
        <v>2928</v>
      </c>
      <c r="D8" s="3504"/>
      <c r="E8" s="3522" t="s">
        <v>2928</v>
      </c>
      <c r="F8" s="3523"/>
      <c r="G8" s="3503" t="s">
        <v>2928</v>
      </c>
      <c r="H8" s="3504"/>
      <c r="I8" s="3503" t="s">
        <v>2928</v>
      </c>
      <c r="J8" s="3504"/>
      <c r="K8" s="511" t="s">
        <v>528</v>
      </c>
      <c r="L8" s="2127"/>
      <c r="M8" s="2128"/>
      <c r="N8" s="2128"/>
      <c r="O8" s="2128"/>
      <c r="P8" s="3500"/>
      <c r="Q8" s="3501"/>
      <c r="R8" s="3484"/>
      <c r="S8" s="3485"/>
      <c r="T8" s="3486"/>
      <c r="U8" s="3487"/>
      <c r="V8" s="3502"/>
      <c r="W8" s="3502"/>
      <c r="X8" s="1561"/>
      <c r="Y8" s="3486"/>
      <c r="Z8" s="3487"/>
      <c r="AA8" s="3479"/>
      <c r="AB8" s="3479"/>
      <c r="AC8" s="3479"/>
    </row>
    <row r="9" spans="1:29" s="1215" customFormat="1" ht="15.75" thickBot="1">
      <c r="A9" s="2928"/>
      <c r="B9" s="2935" t="s">
        <v>529</v>
      </c>
      <c r="C9" s="516">
        <f>'数据-取费表'!B2</f>
        <v>43313</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480" t="s">
        <v>530</v>
      </c>
      <c r="Q9" s="3489"/>
      <c r="R9" s="1562" t="s">
        <v>8</v>
      </c>
      <c r="S9" s="1563">
        <f t="shared" ref="S9:S17" si="0">F9</f>
        <v>0</v>
      </c>
      <c r="T9" s="1562" t="s">
        <v>8</v>
      </c>
      <c r="U9" s="1563">
        <f t="shared" ref="U9:U17" si="1">H9</f>
        <v>0</v>
      </c>
      <c r="V9" s="1562" t="s">
        <v>8</v>
      </c>
      <c r="W9" s="1563">
        <f t="shared" ref="W9:W17" si="2">J9</f>
        <v>0</v>
      </c>
      <c r="X9" s="1564"/>
      <c r="Y9" s="3480" t="s">
        <v>530</v>
      </c>
      <c r="Z9" s="3481"/>
      <c r="AA9" s="1565" t="e">
        <f>D9/F9</f>
        <v>#DIV/0!</v>
      </c>
      <c r="AB9" s="1565" t="e">
        <f>D9/H9</f>
        <v>#DIV/0!</v>
      </c>
      <c r="AC9" s="1565" t="e">
        <f>D9/J9</f>
        <v>#DIV/0!</v>
      </c>
    </row>
    <row r="10" spans="1:29" s="1215" customFormat="1" ht="15.75" thickBot="1">
      <c r="A10" s="2929"/>
      <c r="B10" s="2936"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480" t="s">
        <v>533</v>
      </c>
      <c r="Q10" s="3481"/>
      <c r="R10" s="1562" t="s">
        <v>8</v>
      </c>
      <c r="S10" s="1563">
        <f t="shared" si="0"/>
        <v>0</v>
      </c>
      <c r="T10" s="1562" t="s">
        <v>8</v>
      </c>
      <c r="U10" s="1563">
        <f t="shared" si="1"/>
        <v>0</v>
      </c>
      <c r="V10" s="1562" t="s">
        <v>8</v>
      </c>
      <c r="W10" s="1563">
        <f t="shared" si="2"/>
        <v>0</v>
      </c>
      <c r="X10" s="1564"/>
      <c r="Y10" s="3480" t="s">
        <v>533</v>
      </c>
      <c r="Z10" s="3481"/>
      <c r="AA10" s="1565" t="e">
        <f t="shared" ref="AA10:AA42" si="3">D10/F10</f>
        <v>#DIV/0!</v>
      </c>
      <c r="AB10" s="1565" t="e">
        <f t="shared" ref="AB10:AB42" si="4">D10/H10</f>
        <v>#DIV/0!</v>
      </c>
      <c r="AC10" s="1565" t="e">
        <f t="shared" ref="AC10:AC42" si="5">D10/J10</f>
        <v>#DIV/0!</v>
      </c>
    </row>
    <row r="11" spans="1:29" s="1215" customFormat="1" ht="15">
      <c r="A11" s="2930"/>
      <c r="B11" s="2937" t="s">
        <v>2757</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488" t="s">
        <v>535</v>
      </c>
      <c r="Q11" s="1146" t="str">
        <f t="shared" ref="Q11:Q17" si="6">B11</f>
        <v>用途</v>
      </c>
      <c r="R11" s="1562" t="s">
        <v>8</v>
      </c>
      <c r="S11" s="1563">
        <f t="shared" si="0"/>
        <v>100</v>
      </c>
      <c r="T11" s="1562" t="s">
        <v>8</v>
      </c>
      <c r="U11" s="1563">
        <f t="shared" si="1"/>
        <v>100</v>
      </c>
      <c r="V11" s="1562" t="s">
        <v>8</v>
      </c>
      <c r="W11" s="1563">
        <f t="shared" si="2"/>
        <v>100</v>
      </c>
      <c r="X11" s="1564"/>
      <c r="Y11" s="3445" t="s">
        <v>536</v>
      </c>
      <c r="Z11" s="1145" t="str">
        <f t="shared" ref="Z11:Z17" si="7">Q11</f>
        <v>用途</v>
      </c>
      <c r="AA11" s="1565">
        <f t="shared" si="3"/>
        <v>1</v>
      </c>
      <c r="AB11" s="1565">
        <f t="shared" si="4"/>
        <v>1</v>
      </c>
      <c r="AC11" s="1565">
        <f t="shared" si="5"/>
        <v>1</v>
      </c>
    </row>
    <row r="12" spans="1:29" s="1333" customFormat="1" ht="27">
      <c r="A12" s="2931"/>
      <c r="B12" s="2936" t="s">
        <v>2758</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488"/>
      <c r="Q12" s="1146" t="str">
        <f t="shared" si="6"/>
        <v>土地使用年限（年）</v>
      </c>
      <c r="R12" s="1562" t="s">
        <v>8</v>
      </c>
      <c r="S12" s="1563">
        <f t="shared" si="0"/>
        <v>101</v>
      </c>
      <c r="T12" s="1562" t="s">
        <v>8</v>
      </c>
      <c r="U12" s="1563">
        <f t="shared" si="1"/>
        <v>101</v>
      </c>
      <c r="V12" s="1562" t="s">
        <v>8</v>
      </c>
      <c r="W12" s="1563">
        <f t="shared" si="2"/>
        <v>101</v>
      </c>
      <c r="X12" s="1564"/>
      <c r="Y12" s="3445"/>
      <c r="Z12" s="1145" t="str">
        <f t="shared" si="7"/>
        <v>土地使用年限（年）</v>
      </c>
      <c r="AA12" s="1565">
        <f t="shared" si="3"/>
        <v>0.99009900990099009</v>
      </c>
      <c r="AB12" s="1565">
        <f t="shared" si="4"/>
        <v>0.99009900990099009</v>
      </c>
      <c r="AC12" s="1565">
        <f t="shared" si="5"/>
        <v>0.99009900990099009</v>
      </c>
    </row>
    <row r="13" spans="1:29" ht="15">
      <c r="A13" s="2932"/>
      <c r="B13" s="293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488"/>
      <c r="Q13" s="1146" t="str">
        <f t="shared" si="6"/>
        <v>容积率</v>
      </c>
      <c r="R13" s="1562" t="s">
        <v>8</v>
      </c>
      <c r="S13" s="1563" t="e">
        <f t="shared" si="0"/>
        <v>#N/A</v>
      </c>
      <c r="T13" s="1562" t="s">
        <v>8</v>
      </c>
      <c r="U13" s="1563" t="e">
        <f t="shared" si="1"/>
        <v>#N/A</v>
      </c>
      <c r="V13" s="1562" t="s">
        <v>8</v>
      </c>
      <c r="W13" s="1563" t="e">
        <f t="shared" si="2"/>
        <v>#N/A</v>
      </c>
      <c r="X13" s="1564"/>
      <c r="Y13" s="3445"/>
      <c r="Z13" s="1145" t="str">
        <f t="shared" si="7"/>
        <v>容积率</v>
      </c>
      <c r="AA13" s="1565" t="e">
        <f t="shared" si="3"/>
        <v>#N/A</v>
      </c>
      <c r="AB13" s="1565" t="e">
        <f t="shared" si="4"/>
        <v>#N/A</v>
      </c>
      <c r="AC13" s="1565" t="e">
        <f t="shared" si="5"/>
        <v>#N/A</v>
      </c>
    </row>
    <row r="14" spans="1:29" s="1215" customFormat="1" ht="15">
      <c r="A14" s="2933"/>
      <c r="B14" s="2939">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488"/>
      <c r="Q14" s="1146">
        <f t="shared" si="6"/>
        <v>111</v>
      </c>
      <c r="R14" s="1562" t="s">
        <v>8</v>
      </c>
      <c r="S14" s="1563">
        <f t="shared" si="0"/>
        <v>100</v>
      </c>
      <c r="T14" s="1562" t="s">
        <v>8</v>
      </c>
      <c r="U14" s="1563">
        <f t="shared" si="1"/>
        <v>100</v>
      </c>
      <c r="V14" s="1562" t="s">
        <v>8</v>
      </c>
      <c r="W14" s="1563">
        <f t="shared" si="2"/>
        <v>100</v>
      </c>
      <c r="X14" s="1564"/>
      <c r="Y14" s="3445"/>
      <c r="Z14" s="1145">
        <f t="shared" si="7"/>
        <v>111</v>
      </c>
      <c r="AA14" s="1565">
        <f>D14/F14</f>
        <v>1</v>
      </c>
      <c r="AB14" s="1565">
        <f>D14/H14</f>
        <v>1</v>
      </c>
      <c r="AC14" s="1565">
        <f>D14/J14</f>
        <v>1</v>
      </c>
    </row>
    <row r="15" spans="1:29" ht="15">
      <c r="A15" s="2933"/>
      <c r="B15" s="2939">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488"/>
      <c r="Q15" s="1146">
        <f t="shared" si="6"/>
        <v>111</v>
      </c>
      <c r="R15" s="1562" t="s">
        <v>8</v>
      </c>
      <c r="S15" s="1563">
        <f t="shared" si="0"/>
        <v>100</v>
      </c>
      <c r="T15" s="1562" t="s">
        <v>8</v>
      </c>
      <c r="U15" s="1563">
        <f t="shared" si="1"/>
        <v>100</v>
      </c>
      <c r="V15" s="1562" t="s">
        <v>8</v>
      </c>
      <c r="W15" s="1563">
        <f t="shared" si="2"/>
        <v>100</v>
      </c>
      <c r="X15" s="1564"/>
      <c r="Y15" s="3445"/>
      <c r="Z15" s="1145">
        <f t="shared" si="7"/>
        <v>111</v>
      </c>
      <c r="AA15" s="1565">
        <f t="shared" si="3"/>
        <v>1</v>
      </c>
      <c r="AB15" s="1565">
        <f t="shared" si="4"/>
        <v>1</v>
      </c>
      <c r="AC15" s="1565">
        <f t="shared" si="5"/>
        <v>1</v>
      </c>
    </row>
    <row r="16" spans="1:29" ht="15.75" thickBot="1">
      <c r="A16" s="2934"/>
      <c r="B16" s="2940">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488"/>
      <c r="Q16" s="1146">
        <f t="shared" si="6"/>
        <v>111</v>
      </c>
      <c r="R16" s="1562" t="s">
        <v>8</v>
      </c>
      <c r="S16" s="1563">
        <f t="shared" si="0"/>
        <v>100</v>
      </c>
      <c r="T16" s="1562" t="s">
        <v>8</v>
      </c>
      <c r="U16" s="1563">
        <f t="shared" si="1"/>
        <v>100</v>
      </c>
      <c r="V16" s="1562" t="s">
        <v>8</v>
      </c>
      <c r="W16" s="1563">
        <f t="shared" si="2"/>
        <v>100</v>
      </c>
      <c r="X16" s="1564"/>
      <c r="Y16" s="3445"/>
      <c r="Z16" s="1145">
        <f t="shared" si="7"/>
        <v>111</v>
      </c>
      <c r="AA16" s="1565">
        <f t="shared" si="3"/>
        <v>1</v>
      </c>
      <c r="AB16" s="1565">
        <f t="shared" si="4"/>
        <v>1</v>
      </c>
      <c r="AC16" s="1565">
        <f t="shared" si="5"/>
        <v>1</v>
      </c>
    </row>
    <row r="17" spans="1:29" ht="57">
      <c r="A17" s="2926" t="s">
        <v>2755</v>
      </c>
      <c r="B17" s="165"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490" t="s">
        <v>540</v>
      </c>
      <c r="Q17" s="1566" t="str">
        <f t="shared" si="6"/>
        <v>产业集聚程度</v>
      </c>
      <c r="R17" s="1567" t="s">
        <v>8</v>
      </c>
      <c r="S17" s="1568">
        <f t="shared" si="0"/>
        <v>100</v>
      </c>
      <c r="T17" s="1567" t="s">
        <v>8</v>
      </c>
      <c r="U17" s="1568">
        <f t="shared" si="1"/>
        <v>100</v>
      </c>
      <c r="V17" s="1567" t="s">
        <v>8</v>
      </c>
      <c r="W17" s="1568">
        <f t="shared" si="2"/>
        <v>100</v>
      </c>
      <c r="X17" s="1561"/>
      <c r="Y17" s="3490" t="s">
        <v>540</v>
      </c>
      <c r="Z17" s="1569" t="str">
        <f t="shared" si="7"/>
        <v>产业集聚程度</v>
      </c>
      <c r="AA17" s="1570">
        <f t="shared" si="3"/>
        <v>1</v>
      </c>
      <c r="AB17" s="1570">
        <f t="shared" si="4"/>
        <v>1</v>
      </c>
      <c r="AC17" s="1570">
        <f t="shared" si="5"/>
        <v>1</v>
      </c>
    </row>
    <row r="18" spans="1:29" ht="15">
      <c r="A18" s="529"/>
      <c r="B18" s="866"/>
      <c r="C18" s="573"/>
      <c r="D18" s="552"/>
      <c r="E18" s="551"/>
      <c r="F18" s="552"/>
      <c r="G18" s="551"/>
      <c r="H18" s="556"/>
      <c r="I18" s="551"/>
      <c r="J18" s="552"/>
      <c r="K18" s="528"/>
      <c r="L18" s="2136"/>
      <c r="M18" s="2128"/>
      <c r="N18" s="2128"/>
      <c r="O18" s="2135"/>
      <c r="P18" s="3491"/>
      <c r="Q18" s="1566"/>
      <c r="R18" s="1567"/>
      <c r="S18" s="1568"/>
      <c r="T18" s="1567"/>
      <c r="U18" s="1568"/>
      <c r="V18" s="1567"/>
      <c r="W18" s="1568"/>
      <c r="X18" s="1561"/>
      <c r="Y18" s="3491"/>
      <c r="Z18" s="1569"/>
      <c r="AA18" s="1570">
        <v>1</v>
      </c>
      <c r="AB18" s="1570">
        <v>1</v>
      </c>
      <c r="AC18" s="1570">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491"/>
      <c r="Q19" s="1566" t="str">
        <f>B19</f>
        <v>交通便捷度</v>
      </c>
      <c r="R19" s="1567" t="s">
        <v>8</v>
      </c>
      <c r="S19" s="1568">
        <f>F19</f>
        <v>100</v>
      </c>
      <c r="T19" s="1567" t="s">
        <v>8</v>
      </c>
      <c r="U19" s="1568">
        <f>H19</f>
        <v>100</v>
      </c>
      <c r="V19" s="1567" t="s">
        <v>8</v>
      </c>
      <c r="W19" s="1568">
        <f>J19</f>
        <v>100</v>
      </c>
      <c r="X19" s="1561"/>
      <c r="Y19" s="3491"/>
      <c r="Z19" s="1569" t="str">
        <f>Q19</f>
        <v>交通便捷度</v>
      </c>
      <c r="AA19" s="1570">
        <f t="shared" si="3"/>
        <v>1</v>
      </c>
      <c r="AB19" s="1570">
        <f t="shared" si="4"/>
        <v>1</v>
      </c>
      <c r="AC19" s="1570">
        <f t="shared" si="5"/>
        <v>1</v>
      </c>
    </row>
    <row r="20" spans="1:29" ht="15">
      <c r="A20" s="529"/>
      <c r="B20" s="919"/>
      <c r="C20" s="573"/>
      <c r="D20" s="552"/>
      <c r="E20" s="553"/>
      <c r="F20" s="552"/>
      <c r="G20" s="553"/>
      <c r="H20" s="552"/>
      <c r="I20" s="555"/>
      <c r="J20" s="552"/>
      <c r="K20" s="528"/>
      <c r="L20" s="2136"/>
      <c r="M20" s="2128"/>
      <c r="N20" s="2128"/>
      <c r="O20" s="2135"/>
      <c r="P20" s="3491"/>
      <c r="Q20" s="1566"/>
      <c r="R20" s="1567"/>
      <c r="S20" s="1568"/>
      <c r="T20" s="1567"/>
      <c r="U20" s="1568"/>
      <c r="V20" s="1567"/>
      <c r="W20" s="1568"/>
      <c r="X20" s="1561"/>
      <c r="Y20" s="3491"/>
      <c r="Z20" s="1569"/>
      <c r="AA20" s="1570">
        <v>1</v>
      </c>
      <c r="AB20" s="1570">
        <v>1</v>
      </c>
      <c r="AC20" s="1570">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3"/>
      <c r="L21" s="2136"/>
      <c r="M21" s="2128"/>
      <c r="N21" s="2128"/>
      <c r="O21" s="2135"/>
      <c r="P21" s="3491"/>
      <c r="Q21" s="1566" t="str">
        <f t="shared" ref="Q21:Q35" si="8">B21</f>
        <v>区域土地利用方向</v>
      </c>
      <c r="R21" s="1567" t="s">
        <v>8</v>
      </c>
      <c r="S21" s="1568">
        <f>F21</f>
        <v>100</v>
      </c>
      <c r="T21" s="1567" t="s">
        <v>8</v>
      </c>
      <c r="U21" s="1568">
        <f>H21</f>
        <v>100</v>
      </c>
      <c r="V21" s="1567" t="s">
        <v>8</v>
      </c>
      <c r="W21" s="1568">
        <f>J21</f>
        <v>100</v>
      </c>
      <c r="X21" s="1561"/>
      <c r="Y21" s="3491"/>
      <c r="Z21" s="1569" t="str">
        <f>Q21</f>
        <v>区域土地利用方向</v>
      </c>
      <c r="AA21" s="1570">
        <f t="shared" si="3"/>
        <v>1</v>
      </c>
      <c r="AB21" s="1570">
        <f t="shared" si="4"/>
        <v>1</v>
      </c>
      <c r="AC21" s="1570">
        <f t="shared" si="5"/>
        <v>1</v>
      </c>
    </row>
    <row r="22" spans="1:29" ht="15">
      <c r="A22" s="512"/>
      <c r="B22" s="592"/>
      <c r="C22" s="573"/>
      <c r="D22" s="552"/>
      <c r="E22" s="553"/>
      <c r="F22" s="554"/>
      <c r="G22" s="555"/>
      <c r="H22" s="554"/>
      <c r="I22" s="555"/>
      <c r="J22" s="554"/>
      <c r="K22" s="1343"/>
      <c r="L22" s="2136"/>
      <c r="M22" s="2128"/>
      <c r="N22" s="2128"/>
      <c r="O22" s="2135"/>
      <c r="P22" s="3491"/>
      <c r="Q22" s="1566"/>
      <c r="R22" s="1567"/>
      <c r="S22" s="1568"/>
      <c r="T22" s="1567"/>
      <c r="U22" s="1568"/>
      <c r="V22" s="1567"/>
      <c r="W22" s="1568"/>
      <c r="X22" s="1561"/>
      <c r="Y22" s="3491"/>
      <c r="Z22" s="1569"/>
      <c r="AA22" s="1570"/>
      <c r="AB22" s="1570"/>
      <c r="AC22" s="1570"/>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491"/>
      <c r="Q23" s="1566" t="str">
        <f t="shared" si="8"/>
        <v>环境状况</v>
      </c>
      <c r="R23" s="1567" t="s">
        <v>8</v>
      </c>
      <c r="S23" s="1568">
        <f>F23</f>
        <v>100</v>
      </c>
      <c r="T23" s="1567" t="s">
        <v>8</v>
      </c>
      <c r="U23" s="1568">
        <f>H23</f>
        <v>100</v>
      </c>
      <c r="V23" s="1567" t="s">
        <v>8</v>
      </c>
      <c r="W23" s="1568">
        <f>J23</f>
        <v>100</v>
      </c>
      <c r="X23" s="1561"/>
      <c r="Y23" s="3491"/>
      <c r="Z23" s="1569" t="str">
        <f>Q23</f>
        <v>环境状况</v>
      </c>
      <c r="AA23" s="1570">
        <f t="shared" si="3"/>
        <v>1</v>
      </c>
      <c r="AB23" s="1570">
        <f t="shared" si="4"/>
        <v>1</v>
      </c>
      <c r="AC23" s="1570">
        <f t="shared" si="5"/>
        <v>1</v>
      </c>
    </row>
    <row r="24" spans="1:29" ht="15">
      <c r="A24" s="512"/>
      <c r="B24" s="592"/>
      <c r="C24" s="573"/>
      <c r="D24" s="552"/>
      <c r="E24" s="551"/>
      <c r="F24" s="552"/>
      <c r="G24" s="551"/>
      <c r="H24" s="552"/>
      <c r="I24" s="573"/>
      <c r="J24" s="552"/>
      <c r="K24" s="528"/>
      <c r="L24" s="2136"/>
      <c r="M24" s="2128"/>
      <c r="N24" s="2128"/>
      <c r="O24" s="2135"/>
      <c r="P24" s="3491"/>
      <c r="Q24" s="1566"/>
      <c r="R24" s="1567"/>
      <c r="S24" s="1568"/>
      <c r="T24" s="1567"/>
      <c r="U24" s="1568"/>
      <c r="V24" s="1567"/>
      <c r="W24" s="1568"/>
      <c r="X24" s="1561"/>
      <c r="Y24" s="3491"/>
      <c r="Z24" s="1569"/>
      <c r="AA24" s="1570">
        <v>1</v>
      </c>
      <c r="AB24" s="1570">
        <v>1</v>
      </c>
      <c r="AC24" s="1570">
        <v>1</v>
      </c>
    </row>
    <row r="25" spans="1:29" s="1215" customFormat="1" ht="42.75">
      <c r="A25" s="574"/>
      <c r="B25" s="2609" t="s">
        <v>2549</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491"/>
      <c r="Q25" s="1146" t="str">
        <f t="shared" si="8"/>
        <v>公共配套设施</v>
      </c>
      <c r="R25" s="1562" t="s">
        <v>8</v>
      </c>
      <c r="S25" s="1563">
        <f>F25</f>
        <v>100</v>
      </c>
      <c r="T25" s="1562" t="s">
        <v>8</v>
      </c>
      <c r="U25" s="1563">
        <f>H25</f>
        <v>100</v>
      </c>
      <c r="V25" s="1562" t="s">
        <v>8</v>
      </c>
      <c r="W25" s="1563">
        <f>J25</f>
        <v>100</v>
      </c>
      <c r="X25" s="1564"/>
      <c r="Y25" s="3491"/>
      <c r="Z25" s="1145" t="str">
        <f>Q25</f>
        <v>公共配套设施</v>
      </c>
      <c r="AA25" s="1570">
        <f>D25/F25</f>
        <v>1</v>
      </c>
      <c r="AB25" s="1570">
        <f>D25/H25</f>
        <v>1</v>
      </c>
      <c r="AC25" s="1570">
        <f>D25/J25</f>
        <v>1</v>
      </c>
    </row>
    <row r="26" spans="1:29" s="1215" customFormat="1" ht="15">
      <c r="A26" s="574"/>
      <c r="B26" s="592"/>
      <c r="C26" s="2608"/>
      <c r="D26" s="552"/>
      <c r="E26" s="551"/>
      <c r="F26" s="552"/>
      <c r="G26" s="551"/>
      <c r="H26" s="552"/>
      <c r="I26" s="573"/>
      <c r="J26" s="552"/>
      <c r="K26" s="528"/>
      <c r="L26" s="2129"/>
      <c r="M26" s="2130"/>
      <c r="N26" s="2130"/>
      <c r="O26" s="2131"/>
      <c r="P26" s="3491"/>
      <c r="Q26" s="1146"/>
      <c r="R26" s="1562"/>
      <c r="S26" s="1563"/>
      <c r="T26" s="1562"/>
      <c r="U26" s="1563"/>
      <c r="V26" s="1562"/>
      <c r="W26" s="1563"/>
      <c r="X26" s="1564"/>
      <c r="Y26" s="3491"/>
      <c r="Z26" s="1145"/>
      <c r="AA26" s="1565">
        <v>1</v>
      </c>
      <c r="AB26" s="1565">
        <v>1</v>
      </c>
      <c r="AC26" s="1565">
        <v>1</v>
      </c>
    </row>
    <row r="27" spans="1:29" s="1215" customFormat="1" ht="28.5">
      <c r="A27" s="574"/>
      <c r="B27" s="2609" t="s">
        <v>2550</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491"/>
      <c r="Q27" s="2594" t="str">
        <f t="shared" ref="Q27" si="9">B27</f>
        <v>基础设施水平</v>
      </c>
      <c r="R27" s="1562" t="s">
        <v>8</v>
      </c>
      <c r="S27" s="1563">
        <f>F27</f>
        <v>100</v>
      </c>
      <c r="T27" s="1562" t="s">
        <v>8</v>
      </c>
      <c r="U27" s="1563">
        <f>H27</f>
        <v>100</v>
      </c>
      <c r="V27" s="1562" t="s">
        <v>8</v>
      </c>
      <c r="W27" s="1563">
        <f>J27</f>
        <v>100</v>
      </c>
      <c r="X27" s="1564"/>
      <c r="Y27" s="3491"/>
      <c r="Z27" s="2591" t="str">
        <f>Q27</f>
        <v>基础设施水平</v>
      </c>
      <c r="AA27" s="1570">
        <f>D27/F27</f>
        <v>1</v>
      </c>
      <c r="AB27" s="1570">
        <f>D27/H27</f>
        <v>1</v>
      </c>
      <c r="AC27" s="1570">
        <f>D27/J27</f>
        <v>1</v>
      </c>
    </row>
    <row r="28" spans="1:29" s="1215" customFormat="1" ht="15">
      <c r="A28" s="574"/>
      <c r="B28" s="592"/>
      <c r="C28" s="2608"/>
      <c r="D28" s="552"/>
      <c r="E28" s="576"/>
      <c r="F28" s="552"/>
      <c r="G28" s="576"/>
      <c r="H28" s="552"/>
      <c r="I28" s="576"/>
      <c r="J28" s="552"/>
      <c r="K28" s="528"/>
      <c r="L28" s="2129"/>
      <c r="M28" s="2130"/>
      <c r="N28" s="2130"/>
      <c r="O28" s="2131"/>
      <c r="P28" s="3491"/>
      <c r="Q28" s="2594"/>
      <c r="R28" s="1562"/>
      <c r="S28" s="1563"/>
      <c r="T28" s="1562"/>
      <c r="U28" s="1563"/>
      <c r="V28" s="1562"/>
      <c r="W28" s="1563"/>
      <c r="X28" s="1564"/>
      <c r="Y28" s="3491"/>
      <c r="Z28" s="2591"/>
      <c r="AA28" s="1565">
        <v>1</v>
      </c>
      <c r="AB28" s="1565">
        <v>1</v>
      </c>
      <c r="AC28" s="1565">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491"/>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91"/>
      <c r="Z29" s="1569" t="str">
        <f t="shared" ref="Z29:Z42" si="13">Q29</f>
        <v>临街状况</v>
      </c>
      <c r="AA29" s="1570">
        <f t="shared" si="3"/>
        <v>1</v>
      </c>
      <c r="AB29" s="1570">
        <f t="shared" si="4"/>
        <v>1</v>
      </c>
      <c r="AC29" s="1570">
        <f t="shared" si="5"/>
        <v>1</v>
      </c>
    </row>
    <row r="30" spans="1:29" ht="27">
      <c r="A30" s="529"/>
      <c r="B30" s="919" t="s">
        <v>548</v>
      </c>
      <c r="C30" s="2611">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491"/>
      <c r="Q30" s="1566" t="str">
        <f t="shared" si="8"/>
        <v>毗邻道路的类型与等级</v>
      </c>
      <c r="R30" s="1567" t="s">
        <v>8</v>
      </c>
      <c r="S30" s="1568">
        <f t="shared" si="10"/>
        <v>100</v>
      </c>
      <c r="T30" s="1567" t="s">
        <v>8</v>
      </c>
      <c r="U30" s="1568">
        <f t="shared" si="11"/>
        <v>100</v>
      </c>
      <c r="V30" s="1567" t="s">
        <v>8</v>
      </c>
      <c r="W30" s="1568">
        <f t="shared" si="12"/>
        <v>100</v>
      </c>
      <c r="X30" s="1561"/>
      <c r="Y30" s="3491"/>
      <c r="Z30" s="1569" t="str">
        <f t="shared" si="13"/>
        <v>毗邻道路的类型与等级</v>
      </c>
      <c r="AA30" s="1570">
        <f t="shared" si="3"/>
        <v>1</v>
      </c>
      <c r="AB30" s="1570">
        <f t="shared" si="4"/>
        <v>1</v>
      </c>
      <c r="AC30" s="1570">
        <f t="shared" si="5"/>
        <v>1</v>
      </c>
    </row>
    <row r="31" spans="1:29" ht="15">
      <c r="A31" s="529"/>
      <c r="B31" s="592"/>
      <c r="C31" s="573"/>
      <c r="D31" s="552"/>
      <c r="E31" s="573"/>
      <c r="F31" s="552"/>
      <c r="G31" s="573"/>
      <c r="H31" s="552"/>
      <c r="I31" s="573"/>
      <c r="J31" s="552"/>
      <c r="K31" s="578"/>
      <c r="L31" s="2136"/>
      <c r="M31" s="2128"/>
      <c r="N31" s="2128"/>
      <c r="O31" s="2135"/>
      <c r="P31" s="3491"/>
      <c r="Q31" s="1566"/>
      <c r="R31" s="1567"/>
      <c r="S31" s="1568"/>
      <c r="T31" s="1567"/>
      <c r="U31" s="1568"/>
      <c r="V31" s="1567"/>
      <c r="W31" s="1568"/>
      <c r="X31" s="1561"/>
      <c r="Y31" s="3491"/>
      <c r="Z31" s="1569"/>
      <c r="AA31" s="1570">
        <v>1</v>
      </c>
      <c r="AB31" s="1570">
        <v>1</v>
      </c>
      <c r="AC31" s="1570">
        <v>1</v>
      </c>
    </row>
    <row r="32" spans="1:29" ht="15">
      <c r="A32" s="529"/>
      <c r="B32" s="524" t="s">
        <v>549</v>
      </c>
      <c r="C32" s="2612">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491"/>
      <c r="Q32" s="1566" t="str">
        <f t="shared" si="8"/>
        <v>土地级别</v>
      </c>
      <c r="R32" s="1567" t="s">
        <v>8</v>
      </c>
      <c r="S32" s="1568">
        <f t="shared" si="10"/>
        <v>100</v>
      </c>
      <c r="T32" s="1567" t="s">
        <v>8</v>
      </c>
      <c r="U32" s="1568">
        <f t="shared" si="11"/>
        <v>100</v>
      </c>
      <c r="V32" s="1567" t="s">
        <v>8</v>
      </c>
      <c r="W32" s="1568">
        <f t="shared" si="12"/>
        <v>100</v>
      </c>
      <c r="X32" s="1561"/>
      <c r="Y32" s="3491"/>
      <c r="Z32" s="1569" t="str">
        <f t="shared" si="13"/>
        <v>土地级别</v>
      </c>
      <c r="AA32" s="1570">
        <f t="shared" si="3"/>
        <v>1</v>
      </c>
      <c r="AB32" s="1570">
        <f t="shared" si="4"/>
        <v>1</v>
      </c>
      <c r="AC32" s="157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491"/>
      <c r="Q33" s="1566">
        <f t="shared" si="8"/>
        <v>111</v>
      </c>
      <c r="R33" s="1567" t="s">
        <v>8</v>
      </c>
      <c r="S33" s="1568">
        <f t="shared" si="10"/>
        <v>100</v>
      </c>
      <c r="T33" s="1567" t="s">
        <v>8</v>
      </c>
      <c r="U33" s="1568">
        <f t="shared" si="11"/>
        <v>100</v>
      </c>
      <c r="V33" s="1567" t="s">
        <v>8</v>
      </c>
      <c r="W33" s="1568">
        <f t="shared" si="12"/>
        <v>100</v>
      </c>
      <c r="X33" s="1561"/>
      <c r="Y33" s="3491"/>
      <c r="Z33" s="1569">
        <f t="shared" si="13"/>
        <v>111</v>
      </c>
      <c r="AA33" s="1570">
        <f t="shared" si="3"/>
        <v>1</v>
      </c>
      <c r="AB33" s="1570">
        <f t="shared" si="4"/>
        <v>1</v>
      </c>
      <c r="AC33" s="157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492" t="s">
        <v>550</v>
      </c>
      <c r="Q34" s="1566">
        <f t="shared" si="8"/>
        <v>111</v>
      </c>
      <c r="R34" s="1567" t="s">
        <v>8</v>
      </c>
      <c r="S34" s="1568">
        <f t="shared" si="10"/>
        <v>100</v>
      </c>
      <c r="T34" s="1567" t="s">
        <v>8</v>
      </c>
      <c r="U34" s="1568">
        <f t="shared" si="11"/>
        <v>100</v>
      </c>
      <c r="V34" s="1567" t="s">
        <v>8</v>
      </c>
      <c r="W34" s="1568">
        <f t="shared" si="12"/>
        <v>100</v>
      </c>
      <c r="X34" s="1561"/>
      <c r="Y34" s="3493" t="s">
        <v>550</v>
      </c>
      <c r="Z34" s="1569">
        <f t="shared" si="13"/>
        <v>111</v>
      </c>
      <c r="AA34" s="1570">
        <f t="shared" si="3"/>
        <v>1</v>
      </c>
      <c r="AB34" s="1570">
        <f t="shared" si="4"/>
        <v>1</v>
      </c>
      <c r="AC34" s="1570">
        <f t="shared" si="5"/>
        <v>1</v>
      </c>
    </row>
    <row r="35" spans="1:29" s="1334" customFormat="1" ht="15.75" thickBot="1">
      <c r="A35" s="586"/>
      <c r="B35" s="2610">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493"/>
      <c r="Q35" s="1566">
        <f t="shared" si="8"/>
        <v>111</v>
      </c>
      <c r="R35" s="1571" t="s">
        <v>8</v>
      </c>
      <c r="S35" s="1572">
        <f t="shared" si="10"/>
        <v>100</v>
      </c>
      <c r="T35" s="1571" t="s">
        <v>8</v>
      </c>
      <c r="U35" s="1572">
        <f t="shared" si="11"/>
        <v>100</v>
      </c>
      <c r="V35" s="1571" t="s">
        <v>8</v>
      </c>
      <c r="W35" s="1572">
        <f t="shared" si="12"/>
        <v>100</v>
      </c>
      <c r="X35" s="1573"/>
      <c r="Y35" s="3493"/>
      <c r="Z35" s="1574">
        <f t="shared" si="13"/>
        <v>111</v>
      </c>
      <c r="AA35" s="1570">
        <f t="shared" si="3"/>
        <v>1</v>
      </c>
      <c r="AB35" s="1570">
        <f t="shared" si="4"/>
        <v>1</v>
      </c>
      <c r="AC35" s="1570">
        <f t="shared" si="5"/>
        <v>1</v>
      </c>
    </row>
    <row r="36" spans="1:29" ht="15">
      <c r="A36" s="2923" t="s">
        <v>2756</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493"/>
      <c r="Q36" s="1566" t="str">
        <f>B36</f>
        <v>宗地面积</v>
      </c>
      <c r="R36" s="1567" t="s">
        <v>8</v>
      </c>
      <c r="S36" s="1568" t="e">
        <f t="shared" si="10"/>
        <v>#N/A</v>
      </c>
      <c r="T36" s="1567" t="s">
        <v>8</v>
      </c>
      <c r="U36" s="1568" t="e">
        <f t="shared" si="11"/>
        <v>#N/A</v>
      </c>
      <c r="V36" s="1567" t="s">
        <v>8</v>
      </c>
      <c r="W36" s="1568" t="e">
        <f t="shared" si="12"/>
        <v>#N/A</v>
      </c>
      <c r="X36" s="1561"/>
      <c r="Y36" s="3493"/>
      <c r="Z36" s="1569" t="str">
        <f t="shared" si="13"/>
        <v>宗地面积</v>
      </c>
      <c r="AA36" s="1570" t="e">
        <f t="shared" si="3"/>
        <v>#N/A</v>
      </c>
      <c r="AB36" s="1570" t="e">
        <f t="shared" si="4"/>
        <v>#N/A</v>
      </c>
      <c r="AC36" s="1570"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493"/>
      <c r="Q37" s="1566" t="str">
        <f t="shared" ref="Q37:Q42" si="14">B37</f>
        <v>宗地形状</v>
      </c>
      <c r="R37" s="1567" t="s">
        <v>8</v>
      </c>
      <c r="S37" s="1568">
        <f t="shared" si="10"/>
        <v>100</v>
      </c>
      <c r="T37" s="1567" t="s">
        <v>8</v>
      </c>
      <c r="U37" s="1568">
        <f t="shared" si="11"/>
        <v>100</v>
      </c>
      <c r="V37" s="1567" t="s">
        <v>8</v>
      </c>
      <c r="W37" s="1568">
        <f t="shared" si="12"/>
        <v>100</v>
      </c>
      <c r="X37" s="1561"/>
      <c r="Y37" s="3493"/>
      <c r="Z37" s="1569" t="str">
        <f t="shared" si="13"/>
        <v>宗地形状</v>
      </c>
      <c r="AA37" s="1570">
        <f t="shared" si="3"/>
        <v>1</v>
      </c>
      <c r="AB37" s="1570">
        <f t="shared" si="4"/>
        <v>1</v>
      </c>
      <c r="AC37" s="1570">
        <f t="shared" si="5"/>
        <v>1</v>
      </c>
    </row>
    <row r="38" spans="1:29" s="1215"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493"/>
      <c r="Q38" s="1566" t="str">
        <f t="shared" si="14"/>
        <v>宗地开发程度</v>
      </c>
      <c r="R38" s="1562" t="s">
        <v>8</v>
      </c>
      <c r="S38" s="1563">
        <f t="shared" si="10"/>
        <v>100</v>
      </c>
      <c r="T38" s="1562" t="s">
        <v>8</v>
      </c>
      <c r="U38" s="1563">
        <f t="shared" si="11"/>
        <v>100</v>
      </c>
      <c r="V38" s="1562" t="s">
        <v>8</v>
      </c>
      <c r="W38" s="1563">
        <f t="shared" si="12"/>
        <v>100</v>
      </c>
      <c r="X38" s="1564"/>
      <c r="Y38" s="3493"/>
      <c r="Z38" s="1145" t="str">
        <f t="shared" si="13"/>
        <v>宗地开发程度</v>
      </c>
      <c r="AA38" s="1565">
        <f t="shared" si="3"/>
        <v>1</v>
      </c>
      <c r="AB38" s="1565">
        <f t="shared" si="4"/>
        <v>1</v>
      </c>
      <c r="AC38" s="1565">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493" t="s">
        <v>601</v>
      </c>
      <c r="Q39" s="1566" t="str">
        <f t="shared" si="14"/>
        <v>工程地质条件</v>
      </c>
      <c r="R39" s="1567" t="s">
        <v>8</v>
      </c>
      <c r="S39" s="1568">
        <f t="shared" si="10"/>
        <v>100</v>
      </c>
      <c r="T39" s="1567" t="s">
        <v>8</v>
      </c>
      <c r="U39" s="1568">
        <f t="shared" si="11"/>
        <v>100</v>
      </c>
      <c r="V39" s="1567" t="s">
        <v>8</v>
      </c>
      <c r="W39" s="1568">
        <f t="shared" si="12"/>
        <v>100</v>
      </c>
      <c r="X39" s="1561"/>
      <c r="Y39" s="3493" t="s">
        <v>601</v>
      </c>
      <c r="Z39" s="1569" t="str">
        <f t="shared" si="13"/>
        <v>工程地质条件</v>
      </c>
      <c r="AA39" s="1570">
        <f t="shared" si="3"/>
        <v>1</v>
      </c>
      <c r="AB39" s="1570">
        <f t="shared" si="4"/>
        <v>1</v>
      </c>
      <c r="AC39" s="157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493"/>
      <c r="Q40" s="1566">
        <f t="shared" si="14"/>
        <v>111</v>
      </c>
      <c r="R40" s="1567" t="s">
        <v>8</v>
      </c>
      <c r="S40" s="1568">
        <f t="shared" si="10"/>
        <v>100</v>
      </c>
      <c r="T40" s="1567" t="s">
        <v>8</v>
      </c>
      <c r="U40" s="1568">
        <f t="shared" si="11"/>
        <v>100</v>
      </c>
      <c r="V40" s="1567" t="s">
        <v>8</v>
      </c>
      <c r="W40" s="1568">
        <f t="shared" si="12"/>
        <v>100</v>
      </c>
      <c r="X40" s="1561"/>
      <c r="Y40" s="3493"/>
      <c r="Z40" s="1569">
        <f t="shared" si="13"/>
        <v>111</v>
      </c>
      <c r="AA40" s="1570">
        <f t="shared" si="3"/>
        <v>1</v>
      </c>
      <c r="AB40" s="1570">
        <f t="shared" si="4"/>
        <v>1</v>
      </c>
      <c r="AC40" s="157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493"/>
      <c r="Q41" s="1566">
        <f t="shared" si="14"/>
        <v>111</v>
      </c>
      <c r="R41" s="1567" t="s">
        <v>8</v>
      </c>
      <c r="S41" s="1568">
        <f t="shared" si="10"/>
        <v>100</v>
      </c>
      <c r="T41" s="1567" t="s">
        <v>8</v>
      </c>
      <c r="U41" s="1568">
        <f t="shared" si="11"/>
        <v>100</v>
      </c>
      <c r="V41" s="1567" t="s">
        <v>8</v>
      </c>
      <c r="W41" s="1568">
        <f t="shared" si="12"/>
        <v>100</v>
      </c>
      <c r="X41" s="1561"/>
      <c r="Y41" s="3493"/>
      <c r="Z41" s="1569">
        <f t="shared" si="13"/>
        <v>111</v>
      </c>
      <c r="AA41" s="1570">
        <f t="shared" si="3"/>
        <v>1</v>
      </c>
      <c r="AB41" s="1570">
        <f t="shared" si="4"/>
        <v>1</v>
      </c>
      <c r="AC41" s="1570">
        <f t="shared" si="5"/>
        <v>1</v>
      </c>
    </row>
    <row r="42" spans="1:29" s="1334"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493"/>
      <c r="Q42" s="1566">
        <f t="shared" si="14"/>
        <v>111</v>
      </c>
      <c r="R42" s="1571" t="s">
        <v>8</v>
      </c>
      <c r="S42" s="1572">
        <f t="shared" si="10"/>
        <v>100</v>
      </c>
      <c r="T42" s="1571" t="s">
        <v>8</v>
      </c>
      <c r="U42" s="1572">
        <f t="shared" si="11"/>
        <v>100</v>
      </c>
      <c r="V42" s="1571" t="s">
        <v>8</v>
      </c>
      <c r="W42" s="1572">
        <f t="shared" si="12"/>
        <v>100</v>
      </c>
      <c r="X42" s="1573"/>
      <c r="Y42" s="3493"/>
      <c r="Z42" s="1574">
        <f t="shared" si="13"/>
        <v>111</v>
      </c>
      <c r="AA42" s="1570">
        <f t="shared" si="3"/>
        <v>1</v>
      </c>
      <c r="AB42" s="1570">
        <f t="shared" si="4"/>
        <v>1</v>
      </c>
      <c r="AC42" s="1570">
        <f t="shared" si="5"/>
        <v>1</v>
      </c>
    </row>
    <row r="43" spans="1:29" ht="15">
      <c r="A43" s="604" t="s">
        <v>556</v>
      </c>
      <c r="B43" s="605" t="s">
        <v>2929</v>
      </c>
      <c r="C43" s="606" t="s">
        <v>1</v>
      </c>
      <c r="D43" s="607"/>
      <c r="E43" s="608"/>
      <c r="F43" s="609"/>
      <c r="G43" s="610"/>
      <c r="H43" s="611"/>
      <c r="I43" s="608"/>
      <c r="J43" s="611"/>
      <c r="K43" s="1335"/>
      <c r="L43" s="2138"/>
      <c r="M43" s="2128"/>
      <c r="N43" s="2128"/>
      <c r="O43" s="2139"/>
      <c r="P43" s="3488" t="str">
        <f>A43</f>
        <v>成交单价</v>
      </c>
      <c r="Q43" s="3488"/>
      <c r="R43" s="3502">
        <f>E43</f>
        <v>0</v>
      </c>
      <c r="S43" s="3502"/>
      <c r="T43" s="3502">
        <f>G43</f>
        <v>0</v>
      </c>
      <c r="U43" s="3502"/>
      <c r="V43" s="3502">
        <f>I43</f>
        <v>0</v>
      </c>
      <c r="W43" s="3502"/>
      <c r="X43" s="1553"/>
      <c r="Y43" s="1575"/>
      <c r="Z43" s="1553"/>
      <c r="AA43" s="1553"/>
      <c r="AB43" s="1553"/>
      <c r="AC43" s="1553"/>
    </row>
    <row r="44" spans="1:29" ht="15.75" thickBot="1">
      <c r="A44" s="612" t="s">
        <v>2694</v>
      </c>
      <c r="B44" s="613"/>
      <c r="C44" s="614" t="e">
        <f>R45</f>
        <v>#DIV/0!</v>
      </c>
      <c r="D44" s="615"/>
      <c r="E44" s="614" t="e">
        <f>R44</f>
        <v>#DIV/0!</v>
      </c>
      <c r="F44" s="616"/>
      <c r="G44" s="617" t="e">
        <f>T44</f>
        <v>#DIV/0!</v>
      </c>
      <c r="H44" s="615"/>
      <c r="I44" s="614" t="e">
        <f>V44</f>
        <v>#DIV/0!</v>
      </c>
      <c r="J44" s="615"/>
      <c r="K44" s="1336"/>
      <c r="L44" s="2138"/>
      <c r="M44" s="2128"/>
      <c r="N44" s="2128"/>
      <c r="O44" s="2139"/>
      <c r="P44" s="3488" t="str">
        <f>A44</f>
        <v>比较价格（元/平方米）</v>
      </c>
      <c r="Q44" s="3488"/>
      <c r="R44" s="3512" t="e">
        <f>ROUND(PRODUCT(R43,AA9:AA42),0)</f>
        <v>#DIV/0!</v>
      </c>
      <c r="S44" s="3512"/>
      <c r="T44" s="3512" t="e">
        <f>ROUND(PRODUCT(T43,AB9:AB42),0)</f>
        <v>#DIV/0!</v>
      </c>
      <c r="U44" s="3512"/>
      <c r="V44" s="3512" t="e">
        <f>ROUND(PRODUCT(V43,AC9:AC42),0)</f>
        <v>#DIV/0!</v>
      </c>
      <c r="W44" s="3512"/>
      <c r="X44" s="1553"/>
      <c r="Y44" s="1553"/>
      <c r="Z44" s="1553"/>
      <c r="AA44" s="1553"/>
      <c r="AB44" s="1553"/>
      <c r="AC44" s="1553"/>
    </row>
    <row r="45" spans="1:29" ht="15.75" thickBot="1">
      <c r="A45" s="618" t="s">
        <v>2930</v>
      </c>
      <c r="B45" s="619"/>
      <c r="C45" s="620" t="e">
        <f>R45</f>
        <v>#DIV/0!</v>
      </c>
      <c r="D45" s="620"/>
      <c r="E45" s="620"/>
      <c r="F45" s="620"/>
      <c r="G45" s="620"/>
      <c r="H45" s="620"/>
      <c r="I45" s="620"/>
      <c r="J45" s="620"/>
      <c r="K45" s="1337"/>
      <c r="L45" s="2138"/>
      <c r="M45" s="2128"/>
      <c r="N45" s="2128"/>
      <c r="O45" s="2139"/>
      <c r="P45" s="3509" t="str">
        <f>A45</f>
        <v>估价对象XX用房的比较价格（楼面单价，元/平方米）</v>
      </c>
      <c r="Q45" s="3510"/>
      <c r="R45" s="3511" t="e">
        <f>ROUND(AVERAGE(R44:V44),0)</f>
        <v>#DIV/0!</v>
      </c>
      <c r="S45" s="3511"/>
      <c r="T45" s="3511"/>
      <c r="U45" s="3511"/>
      <c r="V45" s="3511"/>
      <c r="W45" s="3511"/>
      <c r="X45" s="1553"/>
      <c r="Y45" s="1553"/>
      <c r="Z45" s="1553"/>
      <c r="AA45" s="1553"/>
      <c r="AB45" s="1553"/>
      <c r="AC45" s="1553"/>
    </row>
    <row r="46" spans="1:29">
      <c r="A46" s="2139"/>
      <c r="B46" s="2139"/>
      <c r="C46" s="2139"/>
      <c r="D46" s="2139"/>
      <c r="E46" s="2139"/>
      <c r="F46" s="2139"/>
      <c r="G46" s="2142"/>
      <c r="H46" s="2139"/>
      <c r="I46" s="2139"/>
      <c r="J46" s="2139"/>
      <c r="K46" s="2143"/>
      <c r="L46" s="2144"/>
      <c r="M46" s="2128"/>
      <c r="N46" s="2128"/>
      <c r="O46" s="2139"/>
      <c r="P46" s="1553"/>
      <c r="Q46" s="1553"/>
      <c r="R46" s="1553"/>
      <c r="S46" s="1553"/>
      <c r="T46" s="1553"/>
      <c r="U46" s="1553"/>
      <c r="V46" s="1553"/>
      <c r="W46" s="1553"/>
      <c r="X46" s="1553"/>
      <c r="Y46" s="1553"/>
      <c r="Z46" s="1553"/>
      <c r="AA46" s="1553"/>
      <c r="AB46" s="1553"/>
      <c r="AC46" s="1553"/>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4" t="s">
        <v>1724</v>
      </c>
      <c r="D52" s="2221" t="s">
        <v>2293</v>
      </c>
      <c r="E52" s="628" t="s">
        <v>562</v>
      </c>
      <c r="F52" s="1945" t="s">
        <v>563</v>
      </c>
      <c r="G52" s="3513" t="s">
        <v>2284</v>
      </c>
      <c r="H52" s="3514"/>
      <c r="I52" s="1946" t="s">
        <v>1947</v>
      </c>
      <c r="J52" s="1549" t="str">
        <f>项目基本情况!F41</f>
        <v>天津市</v>
      </c>
      <c r="K52" s="2148" t="s">
        <v>1723</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0" t="s">
        <v>564</v>
      </c>
      <c r="B53" s="631" t="e">
        <f>C45</f>
        <v>#DIV/0!</v>
      </c>
      <c r="C53" s="632">
        <v>1</v>
      </c>
      <c r="D53" s="2222">
        <v>1</v>
      </c>
      <c r="E53" s="632">
        <f>'数据-汇总表'!E8+'数据-汇总表'!E9</f>
        <v>70023.53999999995</v>
      </c>
      <c r="F53" s="1944" t="e">
        <f t="shared" ref="F53:F62" si="15">ROUND(B53*E53/10000,0)</f>
        <v>#DIV/0!</v>
      </c>
      <c r="G53" s="3515"/>
      <c r="H53" s="3516"/>
      <c r="I53" s="1947">
        <v>1</v>
      </c>
      <c r="J53" s="1550">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4" t="s">
        <v>565</v>
      </c>
      <c r="B54" s="635" t="e">
        <f>ROUND($C$45*C54*D54,0)</f>
        <v>#DIV/0!</v>
      </c>
      <c r="C54" s="375">
        <f t="shared" ref="C54:C62" si="16">IF($C$52="北京市系数",I54,J54)</f>
        <v>0</v>
      </c>
      <c r="D54" s="2223">
        <v>0.25</v>
      </c>
      <c r="E54" s="636"/>
      <c r="F54" s="1944" t="e">
        <f t="shared" si="15"/>
        <v>#DIV/0!</v>
      </c>
      <c r="G54" s="3517" t="s">
        <v>2285</v>
      </c>
      <c r="H54" s="1948">
        <f>项目基本情况!B43</f>
        <v>0</v>
      </c>
      <c r="I54" s="1947">
        <f>SUMIF(修正!$A$45:$A$56,H54,修正!B45:B56)</f>
        <v>0</v>
      </c>
      <c r="J54" s="1552"/>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4" t="s">
        <v>566</v>
      </c>
      <c r="B55" s="635" t="e">
        <f t="shared" ref="B55:B62" si="17">ROUND($C$45*C55*D55,0)</f>
        <v>#DIV/0!</v>
      </c>
      <c r="C55" s="375">
        <f t="shared" si="16"/>
        <v>0</v>
      </c>
      <c r="D55" s="2223">
        <v>0.25</v>
      </c>
      <c r="E55" s="636"/>
      <c r="F55" s="1944" t="e">
        <f t="shared" si="15"/>
        <v>#DIV/0!</v>
      </c>
      <c r="G55" s="3517"/>
      <c r="H55" s="1949">
        <f>项目基本情况!B43</f>
        <v>0</v>
      </c>
      <c r="I55" s="1947">
        <f>SUMIF(修正!$A$45:$A$56,H55,修正!C45:C56)</f>
        <v>0</v>
      </c>
      <c r="J55" s="1552"/>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4" t="s">
        <v>567</v>
      </c>
      <c r="B56" s="635" t="e">
        <f t="shared" si="17"/>
        <v>#DIV/0!</v>
      </c>
      <c r="C56" s="375">
        <f t="shared" si="16"/>
        <v>0</v>
      </c>
      <c r="D56" s="2223">
        <v>0.25</v>
      </c>
      <c r="E56" s="636"/>
      <c r="F56" s="1944" t="e">
        <f t="shared" si="15"/>
        <v>#DIV/0!</v>
      </c>
      <c r="G56" s="3517"/>
      <c r="H56" s="1949">
        <f>项目基本情况!B43</f>
        <v>0</v>
      </c>
      <c r="I56" s="1947">
        <f>SUMIF(修正!$A$45:$A$56,H56,修正!D45:D56)</f>
        <v>0</v>
      </c>
      <c r="J56" s="1552"/>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4" t="s">
        <v>568</v>
      </c>
      <c r="B57" s="635" t="e">
        <f t="shared" si="17"/>
        <v>#DIV/0!</v>
      </c>
      <c r="C57" s="375">
        <f t="shared" si="16"/>
        <v>0</v>
      </c>
      <c r="D57" s="2223">
        <v>0.25</v>
      </c>
      <c r="E57" s="636"/>
      <c r="F57" s="1944" t="e">
        <f t="shared" si="15"/>
        <v>#DIV/0!</v>
      </c>
      <c r="G57" s="3517"/>
      <c r="H57" s="1949">
        <f>项目基本情况!B43</f>
        <v>0</v>
      </c>
      <c r="I57" s="1947">
        <f>SUMIF(修正!$A$45:$A$56,H57,修正!E45:E56)</f>
        <v>0</v>
      </c>
      <c r="J57" s="1552"/>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3" t="s">
        <v>2328</v>
      </c>
      <c r="B58" s="635" t="e">
        <f t="shared" si="17"/>
        <v>#DIV/0!</v>
      </c>
      <c r="C58" s="375">
        <f t="shared" si="16"/>
        <v>0</v>
      </c>
      <c r="D58" s="2223">
        <v>0.25</v>
      </c>
      <c r="E58" s="638">
        <f>'数据-汇总表'!E11</f>
        <v>0</v>
      </c>
      <c r="F58" s="1944" t="e">
        <f t="shared" si="15"/>
        <v>#DIV/0!</v>
      </c>
      <c r="G58" s="1950" t="s">
        <v>2286</v>
      </c>
      <c r="H58" s="1949">
        <f>项目基本情况!C43</f>
        <v>0</v>
      </c>
      <c r="I58" s="1947">
        <f>SUMIF(修正!$A$45:$A$56,H58,修正!F45:F56)</f>
        <v>0</v>
      </c>
      <c r="J58" s="1552"/>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4" t="s">
        <v>569</v>
      </c>
      <c r="B59" s="635" t="e">
        <f t="shared" si="17"/>
        <v>#DIV/0!</v>
      </c>
      <c r="C59" s="375">
        <f t="shared" si="16"/>
        <v>0</v>
      </c>
      <c r="D59" s="2223">
        <v>0.25</v>
      </c>
      <c r="E59" s="638">
        <f>'数据-汇总表'!E12</f>
        <v>0</v>
      </c>
      <c r="F59" s="1944" t="e">
        <f t="shared" si="15"/>
        <v>#DIV/0!</v>
      </c>
      <c r="G59" s="1940" t="s">
        <v>1677</v>
      </c>
      <c r="H59" s="1948">
        <f>IF(G59="商业",项目基本情况!B43,IF(G59="办公",项目基本情况!C43,IF(G59="住宅",项目基本情况!D43,项目基本情况!E43)))</f>
        <v>0</v>
      </c>
      <c r="I59" s="1947">
        <f>SUMIF(修正!$A$45:$A$56,H59,修正!G45:G56)</f>
        <v>0</v>
      </c>
      <c r="J59" s="1552"/>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4" t="s">
        <v>570</v>
      </c>
      <c r="B60" s="635" t="e">
        <f t="shared" si="17"/>
        <v>#DIV/0!</v>
      </c>
      <c r="C60" s="375">
        <f t="shared" si="16"/>
        <v>0</v>
      </c>
      <c r="D60" s="2223">
        <v>0.25</v>
      </c>
      <c r="E60" s="638">
        <f>'数据-汇总表'!E13</f>
        <v>71600</v>
      </c>
      <c r="F60" s="1944" t="e">
        <f t="shared" si="15"/>
        <v>#DIV/0!</v>
      </c>
      <c r="G60" s="1940" t="s">
        <v>922</v>
      </c>
      <c r="H60" s="1948">
        <f>IF(G60="商业",项目基本情况!B43,IF(G60="办公",项目基本情况!C43,IF(G60="住宅",项目基本情况!D43,项目基本情况!E43)))</f>
        <v>0</v>
      </c>
      <c r="I60" s="1947">
        <f>SUMIF(修正!$A$45:$A$56,H60,修正!H45:H56)</f>
        <v>0</v>
      </c>
      <c r="J60" s="1552"/>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4" t="s">
        <v>571</v>
      </c>
      <c r="B61" s="635" t="e">
        <f t="shared" si="17"/>
        <v>#DIV/0!</v>
      </c>
      <c r="C61" s="375">
        <f t="shared" si="16"/>
        <v>0</v>
      </c>
      <c r="D61" s="2223">
        <v>0.25</v>
      </c>
      <c r="E61" s="638">
        <f>'数据-汇总表'!E14</f>
        <v>0</v>
      </c>
      <c r="F61" s="1944" t="e">
        <f t="shared" si="15"/>
        <v>#DIV/0!</v>
      </c>
      <c r="G61" s="1950" t="s">
        <v>2285</v>
      </c>
      <c r="H61" s="1949">
        <f>项目基本情况!B43</f>
        <v>0</v>
      </c>
      <c r="I61" s="1947">
        <f>SUMIF(修正!$A$45:$A$56,H61,修正!H45:H56)</f>
        <v>0</v>
      </c>
      <c r="J61" s="1552"/>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4" t="s">
        <v>572</v>
      </c>
      <c r="B62" s="635" t="e">
        <f t="shared" si="17"/>
        <v>#DIV/0!</v>
      </c>
      <c r="C62" s="375">
        <f t="shared" si="16"/>
        <v>0</v>
      </c>
      <c r="D62" s="2223">
        <v>0.25</v>
      </c>
      <c r="E62" s="638">
        <f>'数据-汇总表'!E15</f>
        <v>0</v>
      </c>
      <c r="F62" s="1944" t="e">
        <f t="shared" si="15"/>
        <v>#DIV/0!</v>
      </c>
      <c r="G62" s="1951" t="s">
        <v>2286</v>
      </c>
      <c r="H62" s="1952">
        <f>项目基本情况!C43</f>
        <v>0</v>
      </c>
      <c r="I62" s="1947">
        <f>SUMIF(修正!$A$45:$A$56,H62,修正!H45:H56)</f>
        <v>0</v>
      </c>
      <c r="J62" s="1552"/>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39" t="s">
        <v>573</v>
      </c>
      <c r="B63" s="640" t="s">
        <v>17</v>
      </c>
      <c r="C63" s="640" t="s">
        <v>18</v>
      </c>
      <c r="D63" s="640" t="s">
        <v>2294</v>
      </c>
      <c r="E63" s="640">
        <f>IF(B43="楼面地价",SUM(E53:E62),'数据-汇总表'!D3)</f>
        <v>69493.679999999993</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6" t="str">
        <f>YEAR(C9)&amp;"-"&amp;MONTH(C9)&amp;"-1"</f>
        <v>2018-8-1</v>
      </c>
      <c r="D65" s="2815">
        <f>EDATE(C65,-3)</f>
        <v>43221</v>
      </c>
      <c r="E65" s="2815">
        <f t="shared" ref="E65:N65" si="18">EDATE(D65,-3)</f>
        <v>43132</v>
      </c>
      <c r="F65" s="2815">
        <f t="shared" si="18"/>
        <v>43040</v>
      </c>
      <c r="G65" s="2815">
        <f t="shared" si="18"/>
        <v>42948</v>
      </c>
      <c r="H65" s="2815">
        <f t="shared" si="18"/>
        <v>42856</v>
      </c>
      <c r="I65" s="2815">
        <f t="shared" si="18"/>
        <v>42767</v>
      </c>
      <c r="J65" s="2815">
        <f t="shared" si="18"/>
        <v>42675</v>
      </c>
      <c r="K65" s="2815">
        <f t="shared" si="18"/>
        <v>42583</v>
      </c>
      <c r="L65" s="2815">
        <f t="shared" si="18"/>
        <v>42491</v>
      </c>
      <c r="M65" s="2815">
        <f t="shared" si="18"/>
        <v>42401</v>
      </c>
      <c r="N65" s="2815">
        <f t="shared" si="18"/>
        <v>42309</v>
      </c>
      <c r="O65" s="2139"/>
      <c r="P65" s="2139"/>
      <c r="Q65" s="2139"/>
      <c r="R65" s="2139"/>
      <c r="S65" s="2139"/>
      <c r="T65" s="2139"/>
      <c r="U65" s="2139"/>
      <c r="V65" s="2139"/>
      <c r="W65" s="2139"/>
      <c r="X65" s="2139"/>
      <c r="Y65" s="2139"/>
      <c r="Z65" s="2139"/>
      <c r="AA65" s="2139"/>
      <c r="AB65" s="2139"/>
      <c r="AC65" s="2139"/>
    </row>
    <row r="66" spans="1:29" ht="21.75" thickBot="1">
      <c r="A66" s="1578" t="s">
        <v>574</v>
      </c>
      <c r="B66" s="1553"/>
      <c r="C66" s="1577"/>
      <c r="D66" s="1577"/>
      <c r="E66" s="1577"/>
      <c r="F66" s="1579"/>
      <c r="G66" s="1579"/>
      <c r="H66" s="1577"/>
      <c r="I66" s="1577"/>
      <c r="J66" s="1577"/>
      <c r="K66" s="1580"/>
      <c r="L66" s="1576"/>
      <c r="M66" s="1577"/>
      <c r="N66" s="1577"/>
      <c r="O66" s="2151"/>
      <c r="P66" s="2151"/>
      <c r="Q66" s="2152"/>
      <c r="R66" s="2139"/>
      <c r="S66" s="2139"/>
      <c r="T66" s="2139"/>
      <c r="U66" s="2139"/>
      <c r="V66" s="2139"/>
      <c r="W66" s="2139"/>
      <c r="X66" s="2139"/>
      <c r="Y66" s="2139"/>
      <c r="Z66" s="2139"/>
      <c r="AA66" s="2139"/>
      <c r="AB66" s="2139"/>
      <c r="AC66" s="2139"/>
    </row>
    <row r="67" spans="1:29" s="1342" customFormat="1" ht="15">
      <c r="A67" s="2584" t="s">
        <v>2534</v>
      </c>
      <c r="B67" s="643"/>
      <c r="C67" s="2810" t="str">
        <f>YEAR(C65)&amp;"-"&amp;ROUNDUP(MONTH(C65)/3,0)</f>
        <v>2018-3</v>
      </c>
      <c r="D67" s="2817" t="str">
        <f t="shared" ref="D67:N67" si="19">YEAR(D65)&amp;"-"&amp;ROUNDUP(MONTH(D65)/3,0)</f>
        <v>2018-2</v>
      </c>
      <c r="E67" s="2817" t="str">
        <f t="shared" si="19"/>
        <v>2018-1</v>
      </c>
      <c r="F67" s="2817" t="str">
        <f t="shared" si="19"/>
        <v>2017-4</v>
      </c>
      <c r="G67" s="2817" t="str">
        <f t="shared" si="19"/>
        <v>2017-3</v>
      </c>
      <c r="H67" s="2817" t="str">
        <f t="shared" si="19"/>
        <v>2017-2</v>
      </c>
      <c r="I67" s="2817" t="str">
        <f t="shared" si="19"/>
        <v>2017-1</v>
      </c>
      <c r="J67" s="2817" t="str">
        <f t="shared" si="19"/>
        <v>2016-4</v>
      </c>
      <c r="K67" s="2817" t="str">
        <f t="shared" si="19"/>
        <v>2016-3</v>
      </c>
      <c r="L67" s="2817" t="str">
        <f t="shared" si="19"/>
        <v>2016-2</v>
      </c>
      <c r="M67" s="2817" t="str">
        <f t="shared" si="19"/>
        <v>2016-1</v>
      </c>
      <c r="N67" s="2817" t="str">
        <f t="shared" si="19"/>
        <v>2015-4</v>
      </c>
      <c r="O67" s="2153"/>
      <c r="P67" s="2154"/>
      <c r="Q67" s="2155"/>
      <c r="R67" s="2155"/>
      <c r="S67" s="2155"/>
      <c r="T67" s="2155"/>
      <c r="U67" s="2155"/>
      <c r="V67" s="2155"/>
      <c r="W67" s="2155"/>
      <c r="X67" s="2155"/>
      <c r="Y67" s="2155"/>
      <c r="Z67" s="2155"/>
      <c r="AA67" s="2155"/>
      <c r="AB67" s="2155"/>
      <c r="AC67" s="2155"/>
    </row>
    <row r="68" spans="1:29" s="1215" customFormat="1" ht="27.75" customHeight="1">
      <c r="A68" s="2814" t="s">
        <v>2650</v>
      </c>
      <c r="B68" s="476" t="str">
        <f>"北京市平均增长率"&amp;TEXT(基准地价!P24,"0.00%")</f>
        <v>北京市平均增长率0.00%</v>
      </c>
      <c r="C68" s="891">
        <v>100</v>
      </c>
      <c r="D68" s="727"/>
      <c r="E68" s="727"/>
      <c r="F68" s="727"/>
      <c r="G68" s="727"/>
      <c r="H68" s="727"/>
      <c r="I68" s="727"/>
      <c r="J68" s="727"/>
      <c r="K68" s="727"/>
      <c r="L68" s="727"/>
      <c r="M68" s="2808"/>
      <c r="N68" s="2809"/>
      <c r="O68" s="2156"/>
      <c r="P68" s="2152"/>
      <c r="Q68" s="1987"/>
      <c r="R68" s="1987"/>
      <c r="S68" s="1987"/>
      <c r="T68" s="1987"/>
      <c r="U68" s="1987"/>
      <c r="V68" s="1987"/>
      <c r="W68" s="1987"/>
      <c r="X68" s="1987"/>
      <c r="Y68" s="1987"/>
      <c r="Z68" s="1987"/>
      <c r="AA68" s="1987"/>
      <c r="AB68" s="1987"/>
      <c r="AC68" s="1987"/>
    </row>
    <row r="69" spans="1:29" s="1215" customFormat="1" ht="15.75" thickBot="1">
      <c r="A69" s="650" t="s">
        <v>575</v>
      </c>
      <c r="B69" s="651"/>
      <c r="C69" s="2806"/>
      <c r="D69" s="2807"/>
      <c r="E69" s="2807"/>
      <c r="F69" s="2807"/>
      <c r="G69" s="2807"/>
      <c r="H69" s="2807"/>
      <c r="I69" s="2807"/>
      <c r="J69" s="2807"/>
      <c r="K69" s="2807"/>
      <c r="L69" s="2807"/>
      <c r="M69" s="2807"/>
      <c r="N69" s="2807"/>
      <c r="O69" s="2156"/>
      <c r="P69" s="2152"/>
      <c r="Q69" s="2152"/>
      <c r="R69" s="1987"/>
      <c r="S69" s="1987"/>
      <c r="T69" s="1987"/>
      <c r="U69" s="1987"/>
      <c r="V69" s="1987"/>
      <c r="W69" s="1987"/>
      <c r="X69" s="1987"/>
      <c r="Y69" s="1987"/>
      <c r="Z69" s="1987"/>
      <c r="AA69" s="1987"/>
      <c r="AB69" s="1987"/>
      <c r="AC69" s="1987"/>
    </row>
    <row r="70" spans="1:29" s="1215"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4"/>
      <c r="B93" s="1890" t="s">
        <v>2549</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4"/>
      <c r="B95" s="2613" t="s">
        <v>2551</v>
      </c>
      <c r="C95" s="2614" t="s">
        <v>2552</v>
      </c>
      <c r="D95" s="2614" t="s">
        <v>2553</v>
      </c>
      <c r="E95" s="2614" t="s">
        <v>2554</v>
      </c>
      <c r="F95" s="2614" t="s">
        <v>2555</v>
      </c>
      <c r="G95" s="2614" t="s">
        <v>2556</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4"/>
      <c r="B96" s="678"/>
      <c r="C96" s="676">
        <v>100</v>
      </c>
      <c r="D96" s="676">
        <f>C96-$K27</f>
        <v>100</v>
      </c>
      <c r="E96" s="676">
        <f>D96-$K27</f>
        <v>100</v>
      </c>
      <c r="F96" s="676">
        <f>E96-$K27</f>
        <v>100</v>
      </c>
      <c r="G96" s="676">
        <f>F96-$K27</f>
        <v>100</v>
      </c>
      <c r="H96" s="680"/>
      <c r="I96" s="680"/>
      <c r="J96" s="680"/>
      <c r="K96" s="680"/>
      <c r="L96" s="680"/>
      <c r="M96" s="2606"/>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4" t="str">
        <f t="shared" si="25"/>
        <v>(含)-</v>
      </c>
      <c r="L109" s="3105" t="str">
        <f t="shared" si="25"/>
        <v>(含)-</v>
      </c>
      <c r="M109" s="3106"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5"/>
      <c r="B114" s="1890" t="s">
        <v>2426</v>
      </c>
      <c r="C114" s="1370"/>
      <c r="D114" s="1370"/>
      <c r="E114" s="1370"/>
      <c r="F114" s="1370"/>
      <c r="G114" s="1370"/>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2427</v>
      </c>
      <c r="D1" s="1515">
        <f>SUM(D29:D30,D33:D39)</f>
        <v>0</v>
      </c>
      <c r="E1" s="1400" t="s">
        <v>2428</v>
      </c>
      <c r="F1" s="2468"/>
      <c r="G1" s="1395"/>
      <c r="H1" s="1395"/>
      <c r="I1" s="1395"/>
      <c r="J1" s="1395"/>
      <c r="K1" s="1395"/>
      <c r="L1" s="1876" t="s">
        <v>2238</v>
      </c>
      <c r="M1" s="1877">
        <f>SUMPRODUCT((区片价!B5:B9=I2)*(区片价!C3:F3=E2)*(区片价!C5:F9))</f>
        <v>0</v>
      </c>
      <c r="N1" s="1878">
        <f>SUMPRODUCT((因素修正幅度!B5:B9=I2)*(因素修正幅度!C3:F3=E2)*(因素修正幅度!C5:F9))</f>
        <v>0</v>
      </c>
      <c r="O1" s="2183"/>
      <c r="P1" s="2183"/>
      <c r="Q1" s="2183"/>
      <c r="R1" s="2952" t="s">
        <v>2763</v>
      </c>
      <c r="S1" s="2952" t="s">
        <v>2764</v>
      </c>
      <c r="T1" s="2952" t="s">
        <v>2785</v>
      </c>
      <c r="U1" s="2952" t="s">
        <v>2786</v>
      </c>
      <c r="V1" s="2952" t="s">
        <v>2787</v>
      </c>
      <c r="W1" s="2183"/>
      <c r="X1" s="2183"/>
      <c r="Y1" s="2183"/>
      <c r="Z1" s="2183"/>
      <c r="AA1" s="2183"/>
      <c r="AB1" s="2183"/>
      <c r="AC1" s="2184"/>
    </row>
    <row r="2" spans="1:39" ht="15.75">
      <c r="A2" s="1400" t="s">
        <v>919</v>
      </c>
      <c r="B2" s="1033" t="e">
        <f>C26</f>
        <v>#DIV/0!</v>
      </c>
      <c r="C2" s="1401" t="s">
        <v>920</v>
      </c>
      <c r="D2" s="1402" t="s">
        <v>921</v>
      </c>
      <c r="E2" s="1403"/>
      <c r="F2" s="1402" t="s">
        <v>923</v>
      </c>
      <c r="G2" s="1646">
        <f>IF(E2="商业",项目基本情况!B43,IF(E2="办公",项目基本情况!C43,IF(E2="住宅",项目基本情况!D43,项目基本情况!E43)))</f>
        <v>0</v>
      </c>
      <c r="H2" s="1402" t="s">
        <v>925</v>
      </c>
      <c r="I2" s="1647">
        <f>IF(E2="商业",项目基本情况!B44,IF(E2="办公",项目基本情况!C44,IF(E2="住宅",项目基本情况!D44,项目基本情况!E44)))</f>
        <v>0</v>
      </c>
      <c r="J2" s="1404"/>
      <c r="K2" s="1395"/>
      <c r="L2" s="1879" t="s">
        <v>2239</v>
      </c>
      <c r="M2" s="1880">
        <f>SUMPRODUCT((区片价!B10:B28=I2)*(区片价!C3:F3=E2)*(区片价!C10:F28))</f>
        <v>0</v>
      </c>
      <c r="N2" s="1881">
        <f>SUMPRODUCT((因素修正幅度!B10:B28=I2)*(因素修正幅度!C3:F3=E2)*(因素修正幅度!C10:F28))</f>
        <v>0</v>
      </c>
      <c r="O2" s="2183"/>
      <c r="P2" s="2183"/>
      <c r="Q2" s="2183"/>
      <c r="R2" s="2953">
        <v>1</v>
      </c>
      <c r="S2" s="2953">
        <f>ROUND(IF(G3&gt;1,IF(R2&lt;7,SUMPRODUCT((B93:B98=R2)*(C92:N92=G2)*(C93:N98)),SUMIF(C92:N92,G2,C100:N100)),IF(R2&lt;7,SUMPRODUCT((B102:B107=R2)*(C92:N92=G2)*(C102:N107)),SUMIF(C92:N92,G2,C109:N109))),4)</f>
        <v>0</v>
      </c>
      <c r="T2" s="2953" t="e">
        <f>ROUND($C$5*$C$18*$C$19*$C$20*S2*$C$24,0)</f>
        <v>#DIV/0!</v>
      </c>
      <c r="U2" s="2942"/>
      <c r="V2" s="2953" t="e">
        <f>ROUND(T2*U2/10000,0)</f>
        <v>#DIV/0!</v>
      </c>
      <c r="W2" s="2183"/>
      <c r="X2" s="2183"/>
      <c r="Y2" s="2183"/>
      <c r="Z2" s="2183"/>
      <c r="AA2" s="2183"/>
      <c r="AB2" s="2183"/>
      <c r="AC2" s="2184"/>
    </row>
    <row r="3" spans="1:39" ht="15.75">
      <c r="A3" s="1405" t="s">
        <v>1687</v>
      </c>
      <c r="B3" s="1033" t="e">
        <f>ROUND(B2*10000/D1,0)</f>
        <v>#DIV/0!</v>
      </c>
      <c r="C3" s="1401" t="s">
        <v>926</v>
      </c>
      <c r="D3" s="1402" t="s">
        <v>927</v>
      </c>
      <c r="E3" s="1406"/>
      <c r="F3" s="1407" t="s">
        <v>2931</v>
      </c>
      <c r="G3" s="1034">
        <f>IF(F3="宗地容积率",'数据-汇总表'!I4,IF(F3="估价对象容积率",'数据-汇总表'!I6,'数据-汇总表'!I7))</f>
        <v>1.79</v>
      </c>
      <c r="H3" s="1408" t="s">
        <v>928</v>
      </c>
      <c r="I3" s="1035">
        <v>8</v>
      </c>
      <c r="J3" s="1404" t="s">
        <v>929</v>
      </c>
      <c r="K3" s="1395"/>
      <c r="L3" s="1879" t="s">
        <v>2240</v>
      </c>
      <c r="M3" s="1880">
        <f>SUMPRODUCT((区片价!B29:B48=I2)*(区片价!C3:F3=E2)*(区片价!C29:F48))</f>
        <v>0</v>
      </c>
      <c r="N3" s="1881">
        <f>SUMPRODUCT((因素修正幅度!B29:B48=I2)*(因素修正幅度!C3:F3=E2)*(因素修正幅度!C29:F48))</f>
        <v>0</v>
      </c>
      <c r="O3" s="2183"/>
      <c r="P3" s="2183"/>
      <c r="Q3" s="2183"/>
      <c r="R3" s="2953">
        <v>2</v>
      </c>
      <c r="S3" s="2953">
        <f>ROUND(IF(G3&gt;1,IF(R3&lt;7,SUMPRODUCT((B93:B98=R3)*(C92:N92=G2)*(C93:N98)),SUMIF(C92:N92,G2,C100:N100)),IF(R3&lt;7,SUMPRODUCT((B102:B107=R3)*(C92:N92=G2)*(C102:N107)),SUMIF(C92:N92,G2,C109:N109))),4)</f>
        <v>0</v>
      </c>
      <c r="T3" s="2953" t="e">
        <f t="shared" ref="T3:T16" si="0">ROUND($C$5*$C$18*$C$19*$C$20*S3*$C$24,0)</f>
        <v>#DIV/0!</v>
      </c>
      <c r="U3" s="2942"/>
      <c r="V3" s="2953" t="e">
        <f t="shared" ref="V3:V16" si="1">ROUND(T3*U3/10000,0)</f>
        <v>#DIV/0!</v>
      </c>
      <c r="W3" s="2183"/>
      <c r="X3" s="2183"/>
      <c r="Y3" s="2183"/>
      <c r="Z3" s="2183"/>
      <c r="AA3" s="2183"/>
      <c r="AB3" s="2183"/>
      <c r="AC3" s="2184"/>
    </row>
    <row r="4" spans="1:39" ht="28.5">
      <c r="A4" s="1885" t="s">
        <v>2280</v>
      </c>
      <c r="B4" s="2469" t="e">
        <f>ROUND(B2*10000/F1,0)</f>
        <v>#DIV/0!</v>
      </c>
      <c r="C4" s="1888" t="s">
        <v>2254</v>
      </c>
      <c r="D4" s="1888" t="e">
        <f>ROUND(B2/(F1/666.67),0)</f>
        <v>#DIV/0!</v>
      </c>
      <c r="E4" s="1888" t="s">
        <v>2255</v>
      </c>
      <c r="F4" s="1886"/>
      <c r="G4" s="1886"/>
      <c r="H4" s="1886"/>
      <c r="I4" s="1886"/>
      <c r="J4" s="1887"/>
      <c r="K4" s="1395"/>
      <c r="L4" s="1879" t="s">
        <v>2241</v>
      </c>
      <c r="M4" s="1880">
        <f>SUMPRODUCT((区片价!B49:B75=I2)*(区片价!C3:F3=E2)*(区片价!C49:F75))</f>
        <v>0</v>
      </c>
      <c r="N4" s="1881">
        <f>SUMPRODUCT((因素修正幅度!B49:B75=I2)*(因素修正幅度!C3:F3=E2)*(因素修正幅度!C49:F75))</f>
        <v>0</v>
      </c>
      <c r="O4" s="2183"/>
      <c r="P4" s="2183"/>
      <c r="Q4" s="2183"/>
      <c r="R4" s="2953">
        <v>3</v>
      </c>
      <c r="S4" s="2953">
        <f>ROUND(IF(G3&gt;1,IF(R4&lt;7,SUMPRODUCT((B93:B98=R4)*(C92:N92=G2)*(C93:N98)),SUMIF(C92:N92,G2,C100:N100)),IF(R4&lt;7,SUMPRODUCT((B102:B107=R4)*(C92:N92=G2)*(C102:N107)),SUMIF(C92:N92,G2,C109:N109))),4)</f>
        <v>0</v>
      </c>
      <c r="T4" s="2953" t="e">
        <f t="shared" si="0"/>
        <v>#DIV/0!</v>
      </c>
      <c r="U4" s="2942"/>
      <c r="V4" s="2953" t="e">
        <f t="shared" si="1"/>
        <v>#DIV/0!</v>
      </c>
      <c r="W4" s="2183"/>
      <c r="X4" s="2183"/>
      <c r="Y4" s="2183"/>
      <c r="Z4" s="2183"/>
      <c r="AA4" s="2183"/>
      <c r="AB4" s="2183"/>
      <c r="AC4" s="2184"/>
    </row>
    <row r="5" spans="1:39" s="1415" customFormat="1" ht="15.75" thickBot="1">
      <c r="A5" s="1632" t="s">
        <v>1823</v>
      </c>
      <c r="B5" s="1409" t="s">
        <v>930</v>
      </c>
      <c r="C5" s="1036" t="e">
        <f>ROUND(IF(E2="商业",IF(F16="增加",C6*C7+C16,C6*C7-C16),IF(E2="住宅",IF(F16="增加",C6*C12+C16,C6*C12-C16),IF(F16="增加",C6+C16,C6-C16))),0)</f>
        <v>#DIV/0!</v>
      </c>
      <c r="D5" s="3136">
        <f>ROUND(IF(E2="商业",IF(F16="增加",C6+C16,C6-C16)),0)</f>
        <v>0</v>
      </c>
      <c r="E5" s="1410"/>
      <c r="F5" s="1410"/>
      <c r="G5" s="1411"/>
      <c r="H5" s="1411"/>
      <c r="I5" s="1411"/>
      <c r="J5" s="1412"/>
      <c r="K5" s="1588"/>
      <c r="L5" s="1879" t="s">
        <v>2242</v>
      </c>
      <c r="M5" s="1880">
        <f>SUMPRODUCT((区片价!B76:B109=I2)*(区片价!C3:F3=E2)*(区片价!C76:F109))</f>
        <v>0</v>
      </c>
      <c r="N5" s="1881">
        <f>SUMPRODUCT((因素修正幅度!B76:B109=I2)*(因素修正幅度!C3:F3=E2)*(因素修正幅度!C76:F109))</f>
        <v>0</v>
      </c>
      <c r="O5" s="2183"/>
      <c r="P5" s="2183"/>
      <c r="Q5" s="2183"/>
      <c r="R5" s="2953">
        <v>4</v>
      </c>
      <c r="S5" s="2953">
        <f>ROUND(IF(G3&gt;1,IF(R5&lt;7,SUMPRODUCT((B93:B98=R5)*(C92:N92=G2)*(C93:N98)),SUMIF(C92:N92,G2,C100:N100)),IF(R5&lt;7,SUMPRODUCT((B102:B107=R5)*(C92:N92=G2)*(C102:N107)),SUMIF(C92:N92,G2,C109:N109))),4)</f>
        <v>0</v>
      </c>
      <c r="T5" s="2953" t="e">
        <f t="shared" si="0"/>
        <v>#DIV/0!</v>
      </c>
      <c r="U5" s="2942"/>
      <c r="V5" s="2953" t="e">
        <f t="shared" si="1"/>
        <v>#DIV/0!</v>
      </c>
      <c r="W5" s="2183"/>
      <c r="X5" s="2183"/>
      <c r="Y5" s="2183"/>
      <c r="Z5" s="2183"/>
      <c r="AA5" s="2183"/>
      <c r="AB5" s="2183"/>
      <c r="AC5" s="2185"/>
      <c r="AD5" s="1413"/>
      <c r="AE5" s="1413"/>
      <c r="AF5" s="1413"/>
      <c r="AG5" s="1413"/>
      <c r="AH5" s="1413"/>
      <c r="AI5" s="1413"/>
      <c r="AJ5" s="1414"/>
      <c r="AK5" s="1414"/>
      <c r="AL5" s="1414"/>
      <c r="AM5" s="1414"/>
    </row>
    <row r="6" spans="1:39" ht="15.75" thickBot="1">
      <c r="A6" s="1633" t="s">
        <v>1870</v>
      </c>
      <c r="B6" s="1416" t="s">
        <v>930</v>
      </c>
      <c r="C6" s="1037">
        <f>SUMIF(L1:L12,基准地价!G2,M1:M12)</f>
        <v>0</v>
      </c>
      <c r="D6" s="1417" t="s">
        <v>1695</v>
      </c>
      <c r="E6" s="1418"/>
      <c r="F6" s="1418"/>
      <c r="G6" s="1419"/>
      <c r="H6" s="1419"/>
      <c r="I6" s="1419"/>
      <c r="J6" s="1420"/>
      <c r="K6" s="1589"/>
      <c r="L6" s="1879" t="s">
        <v>2243</v>
      </c>
      <c r="M6" s="1880">
        <f>SUMPRODUCT((区片价!B110:B157=I2)*(区片价!C3:F3=E2)*(区片价!C110:F157))</f>
        <v>0</v>
      </c>
      <c r="N6" s="1881">
        <f>SUMPRODUCT((因素修正幅度!B110:B157=I2)*(因素修正幅度!C3:F3=E2)*(因素修正幅度!C110:F157))</f>
        <v>0</v>
      </c>
      <c r="O6" s="2183"/>
      <c r="P6" s="2183"/>
      <c r="Q6" s="2183"/>
      <c r="R6" s="2953">
        <v>5</v>
      </c>
      <c r="S6" s="2953">
        <f>ROUND(IF(G3&gt;1,IF(R6&lt;7,SUMPRODUCT((B93:B98=R6)*(C92:N92=G2)*(C93:N98)),SUMIF(C92:N92,G2,C100:N100)),IF(R6&lt;7,SUMPRODUCT((B102:B107=R6)*(C92:N92=G2)*(C102:N107)),SUMIF(C92:N92,G2,C109:N109))),4)</f>
        <v>0</v>
      </c>
      <c r="T6" s="2953" t="e">
        <f t="shared" si="0"/>
        <v>#DIV/0!</v>
      </c>
      <c r="U6" s="2942"/>
      <c r="V6" s="2953" t="e">
        <f t="shared" si="1"/>
        <v>#DIV/0!</v>
      </c>
      <c r="W6" s="2183"/>
      <c r="X6" s="2183"/>
      <c r="Y6" s="2183"/>
      <c r="Z6" s="2183"/>
      <c r="AA6" s="2183"/>
      <c r="AB6" s="2183"/>
      <c r="AC6" s="2185"/>
      <c r="AD6" s="1413"/>
      <c r="AE6" s="1413"/>
      <c r="AF6" s="1413"/>
      <c r="AG6" s="1413"/>
      <c r="AH6" s="1413"/>
      <c r="AI6" s="1413"/>
      <c r="AJ6" s="1414"/>
    </row>
    <row r="7" spans="1:39" ht="24">
      <c r="A7" s="3525" t="str">
        <f>IF(E2="商业",IF(C8="不临58条商业街","",2),"")</f>
        <v/>
      </c>
      <c r="B7" s="1421" t="s">
        <v>931</v>
      </c>
      <c r="C7" s="1038" t="e">
        <f>IF(C8="不临58条商业街",1,ROUND(1+(1.6*E8+1.2*E9+0.8*E10+0.4*E11)*C9,4))</f>
        <v>#DIV/0!</v>
      </c>
      <c r="D7" s="1422" t="s">
        <v>932</v>
      </c>
      <c r="E7" s="1039"/>
      <c r="F7" s="1423"/>
      <c r="G7" s="1424"/>
      <c r="H7" s="1424"/>
      <c r="I7" s="1424"/>
      <c r="J7" s="1425"/>
      <c r="K7" s="1589"/>
      <c r="L7" s="1879" t="s">
        <v>2244</v>
      </c>
      <c r="M7" s="1880">
        <f>SUMPRODUCT((区片价!B158:B205=I2)*(区片价!C3:F3=E2)*(区片价!C158:F205))</f>
        <v>0</v>
      </c>
      <c r="N7" s="1881">
        <f>SUMPRODUCT((因素修正幅度!B158:B205=I2)*(因素修正幅度!C3:F3=E2)*(因素修正幅度!C158:F205))</f>
        <v>0</v>
      </c>
      <c r="O7" s="2183"/>
      <c r="P7" s="2183"/>
      <c r="Q7" s="2183"/>
      <c r="R7" s="2953">
        <v>6</v>
      </c>
      <c r="S7" s="2953">
        <f>ROUND(IF(G3&gt;1,IF(R7&lt;7,SUMPRODUCT((B93:B98=R7)*(C92:N92=G2)*(C93:N98)),SUMIF(C92:N92,G2,C100:N100)),IF(R7&lt;7,SUMPRODUCT((B102:B107=R7)*(C92:N92=G2)*(C102:N107)),SUMIF(C92:N92,G2,C109:N109))),4)</f>
        <v>0</v>
      </c>
      <c r="T7" s="2953" t="e">
        <f t="shared" si="0"/>
        <v>#DIV/0!</v>
      </c>
      <c r="U7" s="2942"/>
      <c r="V7" s="2953" t="e">
        <f t="shared" si="1"/>
        <v>#DIV/0!</v>
      </c>
      <c r="W7" s="2951" t="s">
        <v>2766</v>
      </c>
      <c r="X7" s="2943">
        <f>G2</f>
        <v>0</v>
      </c>
      <c r="Y7" s="2943" t="s">
        <v>2767</v>
      </c>
      <c r="Z7" s="2944">
        <f>G3</f>
        <v>1.79</v>
      </c>
      <c r="AA7" s="2186"/>
      <c r="AB7" s="2186"/>
      <c r="AC7" s="2187"/>
      <c r="AD7" s="2945"/>
      <c r="AE7" s="2945"/>
      <c r="AF7" s="2945"/>
      <c r="AG7" s="2945"/>
      <c r="AH7" s="2945"/>
      <c r="AI7" s="2945"/>
      <c r="AJ7" s="2946"/>
    </row>
    <row r="8" spans="1:39" ht="15">
      <c r="A8" s="3526"/>
      <c r="B8" s="1408" t="s">
        <v>933</v>
      </c>
      <c r="C8" s="1523"/>
      <c r="D8" s="1040" t="s">
        <v>934</v>
      </c>
      <c r="E8" s="1041" t="e">
        <f>ROUND(C11/E7,4)</f>
        <v>#DIV/0!</v>
      </c>
      <c r="F8" s="1426" t="s">
        <v>935</v>
      </c>
      <c r="G8" s="1427"/>
      <c r="H8" s="1427"/>
      <c r="I8" s="1427"/>
      <c r="J8" s="1428"/>
      <c r="K8" s="1395"/>
      <c r="L8" s="1879" t="s">
        <v>2245</v>
      </c>
      <c r="M8" s="1880">
        <f>SUMPRODUCT((区片价!B206:B244=I2)*(区片价!C3:F3=E2)*(区片价!C206:F244))</f>
        <v>0</v>
      </c>
      <c r="N8" s="1881">
        <f>SUMPRODUCT((因素修正幅度!B206:B244=I2)*(因素修正幅度!C3:F3=E2)*(因素修正幅度!C206:F244))</f>
        <v>0</v>
      </c>
      <c r="O8" s="2183"/>
      <c r="P8" s="2183"/>
      <c r="Q8" s="2183"/>
      <c r="R8" s="2953">
        <v>7</v>
      </c>
      <c r="S8" s="2942"/>
      <c r="T8" s="2953" t="e">
        <f t="shared" si="0"/>
        <v>#DIV/0!</v>
      </c>
      <c r="U8" s="2942"/>
      <c r="V8" s="2953" t="e">
        <f t="shared" si="1"/>
        <v>#DIV/0!</v>
      </c>
      <c r="W8" s="3535" t="s">
        <v>2784</v>
      </c>
      <c r="X8" s="3536"/>
      <c r="Y8" s="1843" t="s">
        <v>2768</v>
      </c>
      <c r="Z8" s="1843" t="s">
        <v>2769</v>
      </c>
      <c r="AA8" s="1843" t="s">
        <v>2770</v>
      </c>
      <c r="AB8" s="1843" t="s">
        <v>2771</v>
      </c>
      <c r="AC8" s="1843" t="s">
        <v>2772</v>
      </c>
      <c r="AD8" s="1843" t="s">
        <v>2773</v>
      </c>
      <c r="AE8" s="1843" t="s">
        <v>2774</v>
      </c>
      <c r="AF8" s="1843" t="s">
        <v>2775</v>
      </c>
      <c r="AG8" s="1843" t="s">
        <v>2776</v>
      </c>
      <c r="AH8" s="1843" t="s">
        <v>2777</v>
      </c>
      <c r="AI8" s="1843" t="s">
        <v>2778</v>
      </c>
      <c r="AJ8" s="1843" t="s">
        <v>2779</v>
      </c>
    </row>
    <row r="9" spans="1:39" ht="15">
      <c r="A9" s="3526"/>
      <c r="B9" s="1408" t="s">
        <v>936</v>
      </c>
      <c r="C9" s="1042">
        <f>SUMIF(修正!C59:C119,C8,修正!E59:E119)</f>
        <v>0</v>
      </c>
      <c r="D9" s="1043" t="s">
        <v>937</v>
      </c>
      <c r="E9" s="1043" t="e">
        <f>ROUND(C11/E7,4)</f>
        <v>#DIV/0!</v>
      </c>
      <c r="F9" s="1426" t="s">
        <v>938</v>
      </c>
      <c r="G9" s="1427"/>
      <c r="H9" s="1427"/>
      <c r="I9" s="1427"/>
      <c r="J9" s="1428"/>
      <c r="K9" s="1395"/>
      <c r="L9" s="1879" t="s">
        <v>2246</v>
      </c>
      <c r="M9" s="1880">
        <f>SUMPRODUCT((区片价!B245:B289=I2)*(区片价!C3:F3=E2)*(区片价!C245:F289))</f>
        <v>0</v>
      </c>
      <c r="N9" s="1881">
        <f>SUMPRODUCT((因素修正幅度!B245:B289=I2)*(因素修正幅度!C3:F3=E2)*(因素修正幅度!C245:F289))</f>
        <v>0</v>
      </c>
      <c r="O9" s="2183"/>
      <c r="P9" s="2183"/>
      <c r="Q9" s="2183"/>
      <c r="R9" s="2953">
        <v>8</v>
      </c>
      <c r="S9" s="2942"/>
      <c r="T9" s="2953" t="e">
        <f t="shared" si="0"/>
        <v>#DIV/0!</v>
      </c>
      <c r="U9" s="2942"/>
      <c r="V9" s="2953" t="e">
        <f t="shared" si="1"/>
        <v>#DIV/0!</v>
      </c>
      <c r="W9" s="3534" t="s">
        <v>2780</v>
      </c>
      <c r="X9" s="2947" t="s">
        <v>2781</v>
      </c>
      <c r="Y9" s="3110"/>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526"/>
      <c r="B10" s="1408" t="s">
        <v>939</v>
      </c>
      <c r="C10" s="1043">
        <f>SUMIF(修正!C59:C119,C8,修正!F59:F119)</f>
        <v>0</v>
      </c>
      <c r="D10" s="1043" t="s">
        <v>940</v>
      </c>
      <c r="E10" s="1043" t="e">
        <f>ROUND(C11/E7,4)</f>
        <v>#DIV/0!</v>
      </c>
      <c r="F10" s="1426" t="s">
        <v>941</v>
      </c>
      <c r="G10" s="1427"/>
      <c r="H10" s="1427"/>
      <c r="I10" s="1427"/>
      <c r="J10" s="1428"/>
      <c r="K10" s="1395"/>
      <c r="L10" s="1879" t="s">
        <v>2247</v>
      </c>
      <c r="M10" s="1880">
        <f>SUMPRODUCT((区片价!B290:B316=I2)*(区片价!C3:F3=E2)*(区片价!C290:F316))</f>
        <v>0</v>
      </c>
      <c r="N10" s="1881">
        <f>SUMPRODUCT((因素修正幅度!B290:B316=I2)*(因素修正幅度!C3:F3=E2)*(因素修正幅度!C290:F316))</f>
        <v>0</v>
      </c>
      <c r="O10" s="2183"/>
      <c r="P10" s="2183"/>
      <c r="Q10" s="2183"/>
      <c r="R10" s="2953">
        <v>9</v>
      </c>
      <c r="S10" s="2942"/>
      <c r="T10" s="2953" t="e">
        <f t="shared" si="0"/>
        <v>#DIV/0!</v>
      </c>
      <c r="U10" s="2942"/>
      <c r="V10" s="2953" t="e">
        <f t="shared" si="1"/>
        <v>#DIV/0!</v>
      </c>
      <c r="W10" s="3534"/>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526"/>
      <c r="B11" s="1429" t="s">
        <v>942</v>
      </c>
      <c r="C11" s="1044">
        <f>C10/4</f>
        <v>0</v>
      </c>
      <c r="D11" s="1044" t="s">
        <v>943</v>
      </c>
      <c r="E11" s="1044" t="e">
        <f>ROUND(C11/E7,4)</f>
        <v>#DIV/0!</v>
      </c>
      <c r="F11" s="1430" t="s">
        <v>944</v>
      </c>
      <c r="G11" s="1431"/>
      <c r="H11" s="1431"/>
      <c r="I11" s="1431"/>
      <c r="J11" s="1432"/>
      <c r="K11" s="1395"/>
      <c r="L11" s="1879" t="s">
        <v>2248</v>
      </c>
      <c r="M11" s="1880">
        <f>SUMPRODUCT((区片价!B317:B337=I2)*(区片价!C3:F3=E2)*(区片价!C317:F337))</f>
        <v>0</v>
      </c>
      <c r="N11" s="1881">
        <f>SUMPRODUCT((因素修正幅度!B317:B337=I2)*(因素修正幅度!C3:F3=E2)*(因素修正幅度!C317:F337))</f>
        <v>0</v>
      </c>
      <c r="O11" s="2183"/>
      <c r="P11" s="2183"/>
      <c r="Q11" s="2183"/>
      <c r="R11" s="2953">
        <v>10</v>
      </c>
      <c r="S11" s="2942"/>
      <c r="T11" s="2953" t="e">
        <f t="shared" si="0"/>
        <v>#DIV/0!</v>
      </c>
      <c r="U11" s="2942"/>
      <c r="V11" s="2953" t="e">
        <f t="shared" si="1"/>
        <v>#DIV/0!</v>
      </c>
      <c r="W11" s="3534" t="s">
        <v>2782</v>
      </c>
      <c r="X11" s="1043" t="s">
        <v>2767</v>
      </c>
      <c r="Y11" s="1647">
        <f>$G$3</f>
        <v>1.79</v>
      </c>
      <c r="Z11" s="1647">
        <f t="shared" ref="Z11:AJ11" si="3">$G$3</f>
        <v>1.79</v>
      </c>
      <c r="AA11" s="1647">
        <f t="shared" si="3"/>
        <v>1.79</v>
      </c>
      <c r="AB11" s="1647">
        <f t="shared" si="3"/>
        <v>1.79</v>
      </c>
      <c r="AC11" s="1647">
        <f t="shared" si="3"/>
        <v>1.79</v>
      </c>
      <c r="AD11" s="1647">
        <f t="shared" si="3"/>
        <v>1.79</v>
      </c>
      <c r="AE11" s="1647">
        <f t="shared" si="3"/>
        <v>1.79</v>
      </c>
      <c r="AF11" s="1647">
        <f t="shared" si="3"/>
        <v>1.79</v>
      </c>
      <c r="AG11" s="1647">
        <f t="shared" si="3"/>
        <v>1.79</v>
      </c>
      <c r="AH11" s="1647">
        <f t="shared" si="3"/>
        <v>1.79</v>
      </c>
      <c r="AI11" s="1647">
        <f t="shared" si="3"/>
        <v>1.79</v>
      </c>
      <c r="AJ11" s="1647">
        <f t="shared" si="3"/>
        <v>1.79</v>
      </c>
    </row>
    <row r="12" spans="1:39" ht="25.5" thickBot="1">
      <c r="A12" s="3525" t="s">
        <v>1871</v>
      </c>
      <c r="B12" s="1433" t="s">
        <v>945</v>
      </c>
      <c r="C12" s="1038">
        <f>ROUND(C15*D15*E15*F15*G15*H15*I15*J15,4)</f>
        <v>1</v>
      </c>
      <c r="D12" s="1434" t="s">
        <v>946</v>
      </c>
      <c r="E12" s="1435"/>
      <c r="F12" s="1435"/>
      <c r="G12" s="1436"/>
      <c r="H12" s="1436"/>
      <c r="I12" s="1436"/>
      <c r="J12" s="1437"/>
      <c r="K12" s="1395"/>
      <c r="L12" s="1882" t="s">
        <v>2249</v>
      </c>
      <c r="M12" s="1883">
        <f>SUMPRODUCT((区片价!B338:B344=I2)*(区片价!C3:F3=E2)*(区片价!C338:F344))</f>
        <v>0</v>
      </c>
      <c r="N12" s="1884">
        <f>SUMPRODUCT((因素修正幅度!B338:B344=I2)*(因素修正幅度!C3:F3=E2)*(因素修正幅度!C338:F344))</f>
        <v>0</v>
      </c>
      <c r="O12" s="2183"/>
      <c r="P12" s="2183"/>
      <c r="Q12" s="2183"/>
      <c r="R12" s="2953">
        <v>11</v>
      </c>
      <c r="S12" s="2942"/>
      <c r="T12" s="2953" t="e">
        <f t="shared" si="0"/>
        <v>#DIV/0!</v>
      </c>
      <c r="U12" s="2942"/>
      <c r="V12" s="2953" t="e">
        <f t="shared" si="1"/>
        <v>#DIV/0!</v>
      </c>
      <c r="W12" s="3534"/>
      <c r="X12" s="2950" t="s">
        <v>2783</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527"/>
      <c r="B13" s="1438" t="s">
        <v>1696</v>
      </c>
      <c r="C13" s="1439" t="s">
        <v>1697</v>
      </c>
      <c r="D13" s="1084" t="s">
        <v>1698</v>
      </c>
      <c r="E13" s="1084" t="s">
        <v>1699</v>
      </c>
      <c r="F13" s="1440" t="s">
        <v>947</v>
      </c>
      <c r="G13" s="1441" t="s">
        <v>1642</v>
      </c>
      <c r="H13" s="1442" t="s">
        <v>1642</v>
      </c>
      <c r="I13" s="1443" t="s">
        <v>1642</v>
      </c>
      <c r="J13" s="1444" t="s">
        <v>1642</v>
      </c>
      <c r="K13" s="1395"/>
      <c r="L13" s="2183"/>
      <c r="M13" s="2183"/>
      <c r="N13" s="2183"/>
      <c r="O13" s="2183"/>
      <c r="P13" s="2183"/>
      <c r="Q13" s="2183"/>
      <c r="R13" s="2953">
        <v>12</v>
      </c>
      <c r="S13" s="2942"/>
      <c r="T13" s="2953" t="e">
        <f t="shared" si="0"/>
        <v>#DIV/0!</v>
      </c>
      <c r="U13" s="2942"/>
      <c r="V13" s="2953" t="e">
        <f t="shared" si="1"/>
        <v>#DIV/0!</v>
      </c>
      <c r="W13" s="3534"/>
      <c r="X13" s="2950"/>
      <c r="Y13" s="2949">
        <f>(-0.163*(Y12^2)-0.59*Y12+7617)*(10^(-4))/Y11</f>
        <v>0.42553072625698324</v>
      </c>
      <c r="Z13" s="2949">
        <f t="shared" ref="Z13:AJ13" si="5">(-0.163*(Z12^2)-0.59*Z12+7617)*(10^(-4))/Z11</f>
        <v>0.42553072625698324</v>
      </c>
      <c r="AA13" s="2949">
        <f t="shared" si="5"/>
        <v>0.42553072625698324</v>
      </c>
      <c r="AB13" s="2949">
        <f t="shared" si="5"/>
        <v>0.42553072625698324</v>
      </c>
      <c r="AC13" s="2949">
        <f t="shared" si="5"/>
        <v>0.42553072625698324</v>
      </c>
      <c r="AD13" s="2949">
        <f t="shared" si="5"/>
        <v>0.42553072625698324</v>
      </c>
      <c r="AE13" s="2949">
        <f t="shared" si="5"/>
        <v>0.42553072625698324</v>
      </c>
      <c r="AF13" s="2949">
        <f t="shared" si="5"/>
        <v>0.42553072625698324</v>
      </c>
      <c r="AG13" s="2949">
        <f t="shared" si="5"/>
        <v>0.42553072625698324</v>
      </c>
      <c r="AH13" s="2949">
        <f t="shared" si="5"/>
        <v>0.42553072625698324</v>
      </c>
      <c r="AI13" s="2949">
        <f t="shared" si="5"/>
        <v>0.42553072625698324</v>
      </c>
      <c r="AJ13" s="2949">
        <f t="shared" si="5"/>
        <v>0.42553072625698324</v>
      </c>
    </row>
    <row r="14" spans="1:39" ht="12.75" customHeight="1" thickBot="1">
      <c r="A14" s="3527"/>
      <c r="B14" s="1445"/>
      <c r="C14" s="1446"/>
      <c r="D14" s="1447"/>
      <c r="E14" s="1447"/>
      <c r="F14" s="1448"/>
      <c r="G14" s="1449" t="s">
        <v>948</v>
      </c>
      <c r="H14" s="1450"/>
      <c r="I14" s="1451"/>
      <c r="J14" s="1452"/>
      <c r="K14" s="1395"/>
      <c r="L14" s="2183"/>
      <c r="M14" s="2183"/>
      <c r="N14" s="2183"/>
      <c r="O14" s="2183"/>
      <c r="P14" s="2183"/>
      <c r="Q14" s="2183"/>
      <c r="R14" s="2953">
        <v>13</v>
      </c>
      <c r="S14" s="2942"/>
      <c r="T14" s="2953" t="e">
        <f t="shared" si="0"/>
        <v>#DIV/0!</v>
      </c>
      <c r="U14" s="2942"/>
      <c r="V14" s="2953" t="e">
        <f t="shared" si="1"/>
        <v>#DIV/0!</v>
      </c>
      <c r="W14" s="2183"/>
      <c r="X14" s="2183"/>
      <c r="Y14" s="2183"/>
      <c r="Z14" s="2183"/>
      <c r="AA14" s="2183"/>
      <c r="AB14" s="2183"/>
      <c r="AC14" s="2184"/>
    </row>
    <row r="15" spans="1:39" ht="13.5" customHeight="1" thickBot="1">
      <c r="A15" s="3528"/>
      <c r="B15" s="1453" t="s">
        <v>1700</v>
      </c>
      <c r="C15" s="1046">
        <f>IF(C14="有",1.1,1)</f>
        <v>1</v>
      </c>
      <c r="D15" s="1046">
        <f>IF(D14="有",1.1,1)</f>
        <v>1</v>
      </c>
      <c r="E15" s="1046">
        <f>IF(E14="有",1.1,1)</f>
        <v>1</v>
      </c>
      <c r="F15" s="1046">
        <f>IF(F14="500米范围内",1.2,IF(F14="500-1000米",1.1,1))</f>
        <v>1</v>
      </c>
      <c r="G15" s="1047">
        <v>1</v>
      </c>
      <c r="H15" s="1047">
        <v>1</v>
      </c>
      <c r="I15" s="1047">
        <v>1</v>
      </c>
      <c r="J15" s="1048">
        <v>1</v>
      </c>
      <c r="K15" s="1395"/>
      <c r="L15" s="1592" t="s">
        <v>897</v>
      </c>
      <c r="M15" s="1422" t="s">
        <v>983</v>
      </c>
      <c r="N15" s="1422" t="s">
        <v>984</v>
      </c>
      <c r="O15" s="1422" t="s">
        <v>901</v>
      </c>
      <c r="P15" s="1470" t="s">
        <v>985</v>
      </c>
      <c r="Q15" s="2183"/>
      <c r="R15" s="2953">
        <v>14</v>
      </c>
      <c r="S15" s="2942"/>
      <c r="T15" s="2953" t="e">
        <f t="shared" si="0"/>
        <v>#DIV/0!</v>
      </c>
      <c r="U15" s="2942"/>
      <c r="V15" s="2953" t="e">
        <f t="shared" si="1"/>
        <v>#DIV/0!</v>
      </c>
      <c r="W15" s="2183"/>
      <c r="X15" s="2183"/>
      <c r="Y15" s="2183"/>
      <c r="Z15" s="2183"/>
      <c r="AA15" s="2183"/>
      <c r="AB15" s="2183"/>
      <c r="AC15" s="2184"/>
    </row>
    <row r="16" spans="1:39" ht="24">
      <c r="A16" s="3525" t="s">
        <v>1838</v>
      </c>
      <c r="B16" s="1421" t="s">
        <v>949</v>
      </c>
      <c r="C16" s="1049" t="e">
        <f>ROUND(SUM(G17:J17)/C17,0)</f>
        <v>#DIV/0!</v>
      </c>
      <c r="D16" s="1454" t="s">
        <v>950</v>
      </c>
      <c r="E16" s="1455"/>
      <c r="F16" s="1456"/>
      <c r="G16" s="1457"/>
      <c r="H16" s="1457"/>
      <c r="I16" s="1457"/>
      <c r="J16" s="1457"/>
      <c r="K16" s="1395"/>
      <c r="L16" s="1458" t="s">
        <v>987</v>
      </c>
      <c r="M16" s="1042">
        <v>0.25</v>
      </c>
      <c r="N16" s="1042">
        <v>0.2</v>
      </c>
      <c r="O16" s="1042">
        <v>0.15</v>
      </c>
      <c r="P16" s="1533">
        <v>0.1</v>
      </c>
      <c r="Q16" s="2186"/>
      <c r="R16" s="2953">
        <v>15</v>
      </c>
      <c r="S16" s="2942"/>
      <c r="T16" s="2953" t="e">
        <f t="shared" si="0"/>
        <v>#DIV/0!</v>
      </c>
      <c r="U16" s="2942"/>
      <c r="V16" s="2953" t="e">
        <f t="shared" si="1"/>
        <v>#DIV/0!</v>
      </c>
      <c r="W16" s="2186"/>
      <c r="X16" s="2186"/>
      <c r="Y16" s="2186"/>
      <c r="Z16" s="2186"/>
      <c r="AA16" s="2186"/>
      <c r="AB16" s="2186"/>
      <c r="AC16" s="2187"/>
    </row>
    <row r="17" spans="1:40" ht="13.5" thickBot="1">
      <c r="A17" s="3526"/>
      <c r="B17" s="1459" t="s">
        <v>952</v>
      </c>
      <c r="C17" s="1050">
        <f>SUMPRODUCT((修正!A2:A5=E2)*(修正!B1:M1=G2)*(修正!B2:M5))</f>
        <v>0</v>
      </c>
      <c r="D17" s="1461" t="s">
        <v>953</v>
      </c>
      <c r="E17" s="1462" t="str">
        <f>IF(OR(G2="八级",G2="九级",G2="十级",G2="十一级",G2="十二级"),"五通一平","七通一平")</f>
        <v>七通一平</v>
      </c>
      <c r="F17" s="1460" t="s">
        <v>954</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973</v>
      </c>
      <c r="M17" s="1534">
        <f ca="1">ROUND($E$20*(1+M16),3)</f>
        <v>5.3999999999999999E-2</v>
      </c>
      <c r="N17" s="1534">
        <f ca="1">ROUND($E$20*(1+N16),3)</f>
        <v>5.1999999999999998E-2</v>
      </c>
      <c r="O17" s="1534">
        <f ca="1">ROUND($E$20*(1+O16),3)</f>
        <v>0.05</v>
      </c>
      <c r="P17" s="1535">
        <f ca="1">ROUND($E$20*(1+P16),3)</f>
        <v>4.8000000000000001E-2</v>
      </c>
      <c r="Q17" s="2186"/>
      <c r="R17" s="2187"/>
      <c r="S17" s="2187"/>
      <c r="T17" s="2187"/>
      <c r="U17" s="2187"/>
      <c r="V17" s="2187"/>
      <c r="W17" s="2186"/>
      <c r="X17" s="2186"/>
      <c r="Y17" s="2186"/>
      <c r="Z17" s="2186"/>
      <c r="AA17" s="2186"/>
      <c r="AB17" s="2186"/>
      <c r="AC17" s="2187"/>
      <c r="AH17" s="1396"/>
      <c r="AI17" s="1396"/>
      <c r="AJ17" s="1399"/>
      <c r="AK17" s="1399"/>
      <c r="AL17" s="1399"/>
      <c r="AM17" s="1399"/>
    </row>
    <row r="18" spans="1:40" s="1415" customFormat="1" ht="15.75" thickBot="1">
      <c r="A18" s="1635" t="s">
        <v>1829</v>
      </c>
      <c r="B18" s="2788" t="s">
        <v>955</v>
      </c>
      <c r="C18" s="2789">
        <f>SUMIF(修正!C18:C39,E3,修正!E18:E39)</f>
        <v>0</v>
      </c>
      <c r="D18" s="2790"/>
      <c r="E18" s="2791"/>
      <c r="F18" s="2792"/>
      <c r="G18" s="2786"/>
      <c r="H18" s="2786"/>
      <c r="I18" s="2786"/>
      <c r="J18" s="2793"/>
      <c r="K18" s="1475"/>
      <c r="L18" s="1475"/>
      <c r="M18" s="1475"/>
      <c r="N18" s="1475"/>
      <c r="O18" s="1591"/>
      <c r="P18" s="1591"/>
      <c r="Q18" s="2188"/>
      <c r="R18" s="2188"/>
      <c r="S18" s="2188"/>
      <c r="T18" s="2188"/>
      <c r="U18" s="2188"/>
      <c r="V18" s="2188"/>
      <c r="W18" s="2187"/>
      <c r="X18" s="2187"/>
      <c r="Y18" s="2187"/>
      <c r="Z18" s="2187"/>
      <c r="AA18" s="2186"/>
      <c r="AB18" s="2186"/>
      <c r="AC18" s="2189"/>
      <c r="AD18" s="1466"/>
      <c r="AE18" s="1466"/>
      <c r="AF18" s="1466"/>
      <c r="AG18" s="1466"/>
      <c r="AH18" s="1397"/>
      <c r="AI18" s="1397"/>
      <c r="AJ18" s="1398"/>
      <c r="AK18" s="1398"/>
      <c r="AL18" s="1398"/>
    </row>
    <row r="19" spans="1:40" s="1415" customFormat="1" ht="27.75" thickBot="1">
      <c r="A19" s="1634" t="s">
        <v>1835</v>
      </c>
      <c r="B19" s="1464" t="s">
        <v>956</v>
      </c>
      <c r="C19" s="1052" t="e">
        <f>ROUND(IF(H19="按公示增长率计算",SUMPRODUCT((地价!A3:A22=YEAR(G19)&amp;"-"&amp;ROUNDUP(MONTH(G19)/3,0))*(地价!X2:AB2=E2)*(地价!X3:AB22)),IF(H19="地价指数",M20/M19,(1+I19)^O19)),4)</f>
        <v>#DIV/0!</v>
      </c>
      <c r="D19" s="1468" t="s">
        <v>957</v>
      </c>
      <c r="E19" s="1053">
        <v>41640</v>
      </c>
      <c r="F19" s="1468" t="s">
        <v>958</v>
      </c>
      <c r="G19" s="1054">
        <f>'数据-取费表'!B2</f>
        <v>43313</v>
      </c>
      <c r="H19" s="1469" t="s">
        <v>2932</v>
      </c>
      <c r="I19" s="2800" t="str">
        <f>IF(H19="季度增幅（自定义）",SUMIF(N21:N24,E2,O21:O24),"")</f>
        <v/>
      </c>
      <c r="J19" s="1465"/>
      <c r="K19" s="1475"/>
      <c r="L19" s="3054" t="s">
        <v>2842</v>
      </c>
      <c r="M19" s="3055">
        <f>ROUND(SUMIF(地价!B2:F2,E2,地价!B22:F22),0)</f>
        <v>0</v>
      </c>
      <c r="N19" s="2802" t="s">
        <v>1676</v>
      </c>
      <c r="O19" s="2801">
        <f>ROUNDDOWN(DATEDIF(E19,G19,"M")/3,0)</f>
        <v>18</v>
      </c>
      <c r="P19" s="1590"/>
      <c r="R19" s="2941"/>
      <c r="S19" s="2941"/>
      <c r="T19" s="2941"/>
      <c r="U19" s="2941"/>
      <c r="V19" s="2941"/>
      <c r="W19" s="2189"/>
      <c r="X19" s="2189"/>
      <c r="Y19" s="2189"/>
      <c r="Z19" s="2189"/>
      <c r="AA19" s="2189"/>
      <c r="AB19" s="2189"/>
      <c r="AC19" s="2189"/>
      <c r="AD19" s="1397"/>
      <c r="AE19" s="1397"/>
      <c r="AF19" s="1397"/>
      <c r="AG19" s="1397"/>
      <c r="AH19" s="1466"/>
      <c r="AI19" s="1467"/>
      <c r="AJ19" s="1471"/>
      <c r="AK19" s="1398"/>
      <c r="AL19" s="1414"/>
      <c r="AM19" s="1414"/>
      <c r="AN19" s="1414"/>
    </row>
    <row r="20" spans="1:40" s="1415" customFormat="1" ht="27.75" thickBot="1">
      <c r="A20" s="2794" t="s">
        <v>1836</v>
      </c>
      <c r="B20" s="2795" t="s">
        <v>971</v>
      </c>
      <c r="C20" s="2796" t="e">
        <f>ROUND(POWER(1+G20,J20-I20)*(POWER(1+G20,I20)-1)/(POWER(1+G20,J20)-1),4)</f>
        <v>#DIV/0!</v>
      </c>
      <c r="D20" s="2797" t="s">
        <v>972</v>
      </c>
      <c r="E20" s="3107">
        <f ca="1">存贷款利率!I4/100</f>
        <v>4.3499999999999997E-2</v>
      </c>
      <c r="F20" s="2797" t="s">
        <v>973</v>
      </c>
      <c r="G20" s="2798">
        <f>SUMIF(M15:P15,E2,M17:P17)</f>
        <v>0</v>
      </c>
      <c r="H20" s="2797" t="s">
        <v>974</v>
      </c>
      <c r="I20" s="2787" t="e">
        <f>SUMIF('数据-取费表'!C6:C15,E2,'数据-取费表'!F6:F15)/COUNTIF('数据-取费表'!C6:C15,E2)</f>
        <v>#DIV/0!</v>
      </c>
      <c r="J20" s="2799">
        <f>IF(E2="住宅",70,IF(E2="商业",40,50))</f>
        <v>50</v>
      </c>
      <c r="K20" s="1475"/>
      <c r="L20" s="3056" t="s">
        <v>2843</v>
      </c>
      <c r="M20" s="3057">
        <f>ROUND(SUMPRODUCT((地价!A4:A22=YEAR(G19)&amp;"-"&amp;ROUNDUP(MONTH(G19)/3,0))*(地价!B2:F2=E2)*(地价!B4:F22)),0)</f>
        <v>0</v>
      </c>
      <c r="N20" s="2805" t="s">
        <v>2646</v>
      </c>
      <c r="O20" s="2803" t="s">
        <v>2645</v>
      </c>
      <c r="P20" s="2804" t="s">
        <v>2651</v>
      </c>
      <c r="R20" s="2941"/>
      <c r="S20" s="2941"/>
      <c r="T20" s="2941"/>
      <c r="U20" s="2941"/>
      <c r="V20" s="2941"/>
      <c r="W20" s="2189"/>
      <c r="X20" s="2189"/>
      <c r="Y20" s="2189"/>
      <c r="Z20" s="2189"/>
      <c r="AA20" s="2189"/>
      <c r="AB20" s="2189"/>
      <c r="AC20" s="2189"/>
      <c r="AD20" s="1466"/>
      <c r="AE20" s="1466"/>
      <c r="AF20" s="1466"/>
      <c r="AG20" s="1466"/>
      <c r="AH20" s="1466"/>
      <c r="AI20" s="1466"/>
    </row>
    <row r="21" spans="1:40" s="1415" customFormat="1" ht="14.25">
      <c r="A21" s="1636" t="s">
        <v>1837</v>
      </c>
      <c r="B21" s="1474" t="s">
        <v>2762</v>
      </c>
      <c r="C21" s="1153">
        <f>IF(B21="容积率修正",IF(G3&lt;=10,D22,J22),C23)</f>
        <v>0</v>
      </c>
      <c r="D21" s="1475"/>
      <c r="E21" s="1475"/>
      <c r="F21" s="1475"/>
      <c r="G21" s="1475"/>
      <c r="H21" s="1475"/>
      <c r="I21" s="1475"/>
      <c r="J21" s="1476"/>
      <c r="K21" s="1475"/>
      <c r="L21" s="1475"/>
      <c r="M21" s="1475"/>
      <c r="N21" s="1472" t="s">
        <v>975</v>
      </c>
      <c r="O21" s="1536"/>
      <c r="P21" s="2785">
        <f>SUMPRODUCT((地价!A3:A22=YEAR(G19)&amp;"-"&amp;ROUNDUP(MONTH(G19)/3,0))*(地价!AD2:AH2=N21)*(地价!AD3:AH22))</f>
        <v>0</v>
      </c>
      <c r="R21" s="2941"/>
      <c r="S21" s="2941"/>
      <c r="T21" s="2941"/>
      <c r="U21" s="2941"/>
      <c r="V21" s="2941"/>
      <c r="W21" s="2189"/>
      <c r="X21" s="2189"/>
      <c r="Y21" s="2189"/>
      <c r="Z21" s="2189"/>
      <c r="AA21" s="2189"/>
      <c r="AB21" s="2189"/>
      <c r="AC21" s="2189"/>
      <c r="AD21" s="1397"/>
      <c r="AE21" s="1397"/>
      <c r="AF21" s="1397"/>
      <c r="AG21" s="1397"/>
      <c r="AH21" s="1466"/>
      <c r="AI21" s="1466"/>
    </row>
    <row r="22" spans="1:40" s="1415" customFormat="1" ht="14.25">
      <c r="A22" s="1637" t="s">
        <v>1870</v>
      </c>
      <c r="B22" s="1477" t="s">
        <v>976</v>
      </c>
      <c r="C22" s="1055" t="s">
        <v>1702</v>
      </c>
      <c r="D22" s="1055">
        <f>IF(E22=G22,F22,IF(G3&lt;=10,ROUND(F22+(H22-F22)*(G3-E22)/(G22-E22),4),"——"))</f>
        <v>0</v>
      </c>
      <c r="E22" s="1034">
        <f>ROUNDDOWN(G3,1)</f>
        <v>1.7</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1475"/>
      <c r="L22" s="1475"/>
      <c r="M22" s="1475"/>
      <c r="N22" s="1472" t="s">
        <v>978</v>
      </c>
      <c r="O22" s="1536"/>
      <c r="P22" s="2785">
        <f>SUMPRODUCT((地价!A3:A22=YEAR(G19)&amp;"-"&amp;ROUNDUP(MONTH(G19)/3,0))*(地价!AD2:AH2=N22)*(地价!AD3:AH22))</f>
        <v>0</v>
      </c>
      <c r="R22" s="2941"/>
      <c r="S22" s="2941"/>
      <c r="T22" s="2941"/>
      <c r="U22" s="2941"/>
      <c r="V22" s="2941"/>
      <c r="W22" s="2189"/>
      <c r="X22" s="2189"/>
      <c r="Y22" s="2189"/>
      <c r="Z22" s="2189"/>
      <c r="AA22" s="2189"/>
      <c r="AB22" s="2189"/>
      <c r="AC22" s="2189"/>
      <c r="AD22" s="1466"/>
      <c r="AE22" s="1466"/>
      <c r="AF22" s="1466"/>
      <c r="AG22" s="1466"/>
      <c r="AH22" s="1466"/>
      <c r="AI22" s="1466"/>
    </row>
    <row r="23" spans="1:40" ht="27.75" thickBot="1">
      <c r="A23" s="1637" t="s">
        <v>1871</v>
      </c>
      <c r="B23" s="1477" t="s">
        <v>979</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922</v>
      </c>
      <c r="O23" s="1536"/>
      <c r="P23" s="2785">
        <f>SUMPRODUCT((地价!A3:A22=YEAR(G19)&amp;"-"&amp;ROUNDUP(MONTH(G19)/3,0))*(地价!AD2:AH2=N23)*(地价!AD3:AH22))</f>
        <v>0</v>
      </c>
      <c r="R23" s="2941"/>
      <c r="S23" s="2941"/>
      <c r="T23" s="2941"/>
      <c r="U23" s="2941"/>
      <c r="V23" s="2941"/>
      <c r="W23" s="2189"/>
      <c r="X23" s="2189"/>
      <c r="Y23" s="2189"/>
      <c r="Z23" s="2189"/>
      <c r="AA23" s="2189"/>
      <c r="AB23" s="2189"/>
      <c r="AC23" s="2189"/>
      <c r="AN23" s="1398"/>
    </row>
    <row r="24" spans="1:40" s="1415" customFormat="1" ht="15.75" thickBot="1">
      <c r="A24" s="1635" t="s">
        <v>1872</v>
      </c>
      <c r="B24" s="1409" t="s">
        <v>980</v>
      </c>
      <c r="C24" s="1057">
        <f>SUMIF(A44:A87,E2,B44:B87)</f>
        <v>0</v>
      </c>
      <c r="D24" s="1529"/>
      <c r="E24" s="1530"/>
      <c r="F24" s="1530"/>
      <c r="G24" s="1530"/>
      <c r="H24" s="1530"/>
      <c r="I24" s="1530"/>
      <c r="J24" s="1530"/>
      <c r="K24" s="1475"/>
      <c r="L24" s="1475"/>
      <c r="M24" s="1475"/>
      <c r="N24" s="1478" t="s">
        <v>981</v>
      </c>
      <c r="O24" s="1537"/>
      <c r="P24" s="1535">
        <f>SUMPRODUCT((地价!A3:A22=YEAR(G19)&amp;"-"&amp;ROUNDUP(MONTH(G19)/3,0))*(地价!AD2:AH2=N24)*(地价!AD3:AH22))</f>
        <v>0</v>
      </c>
      <c r="R24" s="2941"/>
      <c r="S24" s="2941"/>
      <c r="T24" s="2941"/>
      <c r="U24" s="2941"/>
      <c r="V24" s="2941"/>
      <c r="W24" s="2189"/>
      <c r="X24" s="2189"/>
      <c r="Y24" s="2189"/>
      <c r="Z24" s="2189"/>
      <c r="AA24" s="2189"/>
      <c r="AB24" s="2189"/>
      <c r="AC24" s="2189"/>
      <c r="AD24" s="1466"/>
      <c r="AE24" s="1466"/>
      <c r="AF24" s="1466"/>
      <c r="AG24" s="1466"/>
      <c r="AH24" s="1466"/>
      <c r="AI24" s="1466"/>
    </row>
    <row r="25" spans="1:40" ht="15" thickBot="1">
      <c r="A25" s="1635" t="s">
        <v>1873</v>
      </c>
      <c r="B25" s="1480" t="s">
        <v>982</v>
      </c>
      <c r="C25" s="1481"/>
      <c r="D25" s="1424"/>
      <c r="E25" s="1424"/>
      <c r="F25" s="1482"/>
      <c r="G25" s="1424"/>
      <c r="H25" s="1424"/>
      <c r="I25" s="1424"/>
      <c r="J25" s="1425"/>
      <c r="K25" s="1395"/>
      <c r="L25" s="2189"/>
      <c r="M25" s="2189"/>
      <c r="N25" s="2813" t="s">
        <v>2649</v>
      </c>
      <c r="O25" s="2189"/>
      <c r="P25" s="1535">
        <f>SUMPRODUCT((地价!A3:A22=YEAR(G19)&amp;"-"&amp;ROUNDUP(MONTH(G19)/3,0))*(地价!AD2:AH2=N25)*(地价!AD3:AH22))</f>
        <v>0</v>
      </c>
      <c r="R25" s="2941"/>
      <c r="S25" s="2941"/>
      <c r="T25" s="2941"/>
      <c r="U25" s="2941"/>
      <c r="V25" s="2941"/>
      <c r="W25" s="2189"/>
      <c r="X25" s="2189"/>
      <c r="Y25" s="2189"/>
      <c r="Z25" s="2189"/>
      <c r="AA25" s="2189"/>
      <c r="AB25" s="2189"/>
      <c r="AC25" s="2189"/>
    </row>
    <row r="26" spans="1:40" ht="14.25">
      <c r="A26" s="1483"/>
      <c r="B26" s="1477" t="s">
        <v>986</v>
      </c>
      <c r="C26" s="1058" t="e">
        <f>E29+SUM(E33:E39)</f>
        <v>#DIV/0!</v>
      </c>
      <c r="D26" s="1484"/>
      <c r="E26" s="1450"/>
      <c r="F26" s="1485"/>
      <c r="G26" s="1450"/>
      <c r="H26" s="1450"/>
      <c r="I26" s="1450"/>
      <c r="J26" s="1486"/>
      <c r="K26" s="1395"/>
      <c r="L26" s="2189"/>
      <c r="M26" s="2189"/>
      <c r="N26" s="2189"/>
      <c r="O26" s="2189"/>
      <c r="P26" s="2189"/>
      <c r="Q26" s="2189"/>
      <c r="R26" s="2941"/>
      <c r="S26" s="2941"/>
      <c r="T26" s="2941"/>
      <c r="U26" s="2941"/>
      <c r="V26" s="2941"/>
      <c r="W26" s="2189"/>
      <c r="X26" s="2189"/>
      <c r="Y26" s="2189"/>
      <c r="Z26" s="2189"/>
      <c r="AA26" s="2189"/>
      <c r="AB26" s="2189"/>
      <c r="AC26" s="2189"/>
      <c r="AD26" s="1466"/>
      <c r="AE26" s="1466"/>
      <c r="AF26" s="1466"/>
      <c r="AG26" s="1466"/>
    </row>
    <row r="27" spans="1:40" ht="15" thickBot="1">
      <c r="A27" s="1483"/>
      <c r="B27" s="1487" t="s">
        <v>988</v>
      </c>
      <c r="C27" s="1059" t="e">
        <f>E30+SUM(I33:I39)</f>
        <v>#DIV/0!</v>
      </c>
      <c r="D27" s="1488"/>
      <c r="E27" s="1489"/>
      <c r="F27" s="1490"/>
      <c r="G27" s="1489"/>
      <c r="H27" s="1489"/>
      <c r="I27" s="1489"/>
      <c r="J27" s="1491"/>
      <c r="K27" s="1395"/>
      <c r="L27" s="2189"/>
      <c r="M27" s="2189"/>
      <c r="N27" s="2189"/>
      <c r="O27" s="2189"/>
      <c r="P27" s="2189"/>
      <c r="Q27" s="2189"/>
      <c r="R27" s="2941"/>
      <c r="S27" s="2941"/>
      <c r="T27" s="2941"/>
      <c r="U27" s="2941"/>
      <c r="V27" s="2941"/>
      <c r="W27" s="2189"/>
      <c r="X27" s="2189"/>
      <c r="Y27" s="2189"/>
      <c r="Z27" s="2189"/>
      <c r="AA27" s="2189"/>
      <c r="AB27" s="2189"/>
      <c r="AC27" s="2189"/>
    </row>
    <row r="28" spans="1:40" ht="14.25">
      <c r="A28" s="1479"/>
      <c r="B28" s="1492" t="s">
        <v>989</v>
      </c>
      <c r="C28" s="1493" t="s">
        <v>990</v>
      </c>
      <c r="D28" s="1493" t="s">
        <v>991</v>
      </c>
      <c r="E28" s="1494" t="s">
        <v>992</v>
      </c>
      <c r="F28" s="1495"/>
      <c r="G28" s="1436"/>
      <c r="H28" s="1436"/>
      <c r="I28" s="1436"/>
      <c r="J28" s="1437"/>
      <c r="K28" s="1395"/>
      <c r="L28" s="2189"/>
      <c r="M28" s="2189"/>
      <c r="N28" s="2189"/>
      <c r="O28" s="2189"/>
      <c r="P28" s="2189"/>
      <c r="Q28" s="2189"/>
      <c r="R28" s="2941"/>
      <c r="S28" s="2941"/>
      <c r="T28" s="2941"/>
      <c r="U28" s="2941"/>
      <c r="V28" s="2941"/>
      <c r="W28" s="2189"/>
      <c r="X28" s="2189"/>
      <c r="Y28" s="2189"/>
      <c r="Z28" s="2189"/>
      <c r="AA28" s="2189"/>
      <c r="AB28" s="2189"/>
      <c r="AC28" s="2189"/>
      <c r="AD28" s="1466"/>
      <c r="AE28" s="1466"/>
      <c r="AF28" s="1466"/>
      <c r="AG28" s="1466"/>
    </row>
    <row r="29" spans="1:40" ht="24">
      <c r="A29" s="1496"/>
      <c r="B29" s="1497" t="s">
        <v>993</v>
      </c>
      <c r="C29" s="1058" t="e">
        <f>ROUND(C5*C18*C19*C20*C21*C24,0)</f>
        <v>#DIV/0!</v>
      </c>
      <c r="D29" s="1498"/>
      <c r="E29" s="1843" t="e">
        <f>ROUND(C29*D29/10000,0)</f>
        <v>#DIV/0!</v>
      </c>
      <c r="F29" s="1499" t="s">
        <v>1701</v>
      </c>
      <c r="G29" s="1500"/>
      <c r="H29" s="1500"/>
      <c r="I29" s="1500"/>
      <c r="J29" s="1501"/>
      <c r="K29" s="1395"/>
      <c r="L29" s="2189"/>
      <c r="M29" s="2189"/>
      <c r="N29" s="2189"/>
      <c r="O29" s="2189"/>
      <c r="P29" s="2189"/>
      <c r="Q29" s="2189"/>
      <c r="R29" s="2941"/>
      <c r="S29" s="2941"/>
      <c r="T29" s="2941"/>
      <c r="U29" s="2941"/>
      <c r="V29" s="2941"/>
      <c r="W29" s="2189"/>
      <c r="X29" s="2189"/>
      <c r="Y29" s="2189"/>
      <c r="Z29" s="2189"/>
      <c r="AA29" s="2189"/>
      <c r="AB29" s="2189"/>
      <c r="AC29" s="2189"/>
      <c r="AH29" s="1396"/>
      <c r="AI29" s="1396"/>
      <c r="AJ29" s="1399"/>
      <c r="AK29" s="1399"/>
      <c r="AL29" s="1399"/>
      <c r="AM29" s="1399"/>
    </row>
    <row r="30" spans="1:40" ht="24.75" thickBot="1">
      <c r="A30" s="1502"/>
      <c r="B30" s="1503" t="s">
        <v>994</v>
      </c>
      <c r="C30" s="1046" t="e">
        <f>ROUND(IF(E2="工业",C29*M39,C29*M38),0)</f>
        <v>#DIV/0!</v>
      </c>
      <c r="D30" s="1504"/>
      <c r="E30" s="1843" t="e">
        <f>ROUND(C30*D30/10000,0)</f>
        <v>#DIV/0!</v>
      </c>
      <c r="F30" s="1505" t="s">
        <v>995</v>
      </c>
      <c r="G30" s="1506"/>
      <c r="H30" s="1506"/>
      <c r="I30" s="1506"/>
      <c r="J30" s="1507"/>
      <c r="K30" s="1395"/>
      <c r="L30" s="2183"/>
      <c r="M30" s="2183"/>
      <c r="N30" s="2183"/>
      <c r="O30" s="2183"/>
      <c r="P30" s="2183"/>
      <c r="Q30" s="2183"/>
      <c r="R30" s="2184"/>
      <c r="S30" s="2184"/>
      <c r="T30" s="2184"/>
      <c r="U30" s="2184"/>
      <c r="V30" s="2184"/>
      <c r="W30" s="2183"/>
      <c r="X30" s="2183"/>
      <c r="Y30" s="2183"/>
      <c r="Z30" s="2183"/>
      <c r="AA30" s="2183"/>
      <c r="AB30" s="2183"/>
      <c r="AC30" s="2183"/>
      <c r="AD30" s="1466"/>
      <c r="AE30" s="1466"/>
      <c r="AF30" s="1466"/>
      <c r="AG30" s="1466"/>
      <c r="AH30" s="1396"/>
      <c r="AI30" s="1396"/>
      <c r="AJ30" s="1399"/>
      <c r="AK30" s="1399"/>
      <c r="AL30" s="1399"/>
      <c r="AM30" s="1399"/>
    </row>
    <row r="31" spans="1:40">
      <c r="A31" s="1508"/>
      <c r="B31" s="1509" t="s">
        <v>996</v>
      </c>
      <c r="C31" s="1510" t="s">
        <v>997</v>
      </c>
      <c r="D31" s="1436"/>
      <c r="E31" s="1510"/>
      <c r="F31" s="1510"/>
      <c r="G31" s="1434" t="s">
        <v>995</v>
      </c>
      <c r="H31" s="1436"/>
      <c r="I31" s="1511"/>
      <c r="J31" s="1437"/>
      <c r="K31" s="1395"/>
      <c r="L31" s="2183"/>
      <c r="M31" s="2183"/>
      <c r="N31" s="2183"/>
      <c r="O31" s="2183"/>
      <c r="P31" s="2183"/>
      <c r="Q31" s="2183"/>
      <c r="R31" s="2184"/>
      <c r="S31" s="2184"/>
      <c r="T31" s="2184"/>
      <c r="U31" s="2184"/>
      <c r="V31" s="2184"/>
      <c r="W31" s="2183"/>
      <c r="X31" s="2183"/>
      <c r="Y31" s="2183"/>
      <c r="Z31" s="2183"/>
      <c r="AA31" s="2183"/>
      <c r="AB31" s="2183"/>
      <c r="AC31" s="2183"/>
      <c r="AH31" s="1396"/>
      <c r="AI31" s="1396"/>
      <c r="AJ31" s="1399"/>
      <c r="AK31" s="1399"/>
      <c r="AL31" s="1399"/>
      <c r="AM31" s="1399"/>
    </row>
    <row r="32" spans="1:40" ht="24">
      <c r="A32" s="1496"/>
      <c r="B32" s="1512"/>
      <c r="C32" s="1513" t="s">
        <v>990</v>
      </c>
      <c r="D32" s="1514" t="s">
        <v>991</v>
      </c>
      <c r="E32" s="1514" t="s">
        <v>992</v>
      </c>
      <c r="F32" s="1515" t="s">
        <v>998</v>
      </c>
      <c r="G32" s="1473" t="s">
        <v>990</v>
      </c>
      <c r="H32" s="1473" t="s">
        <v>991</v>
      </c>
      <c r="I32" s="1473" t="s">
        <v>992</v>
      </c>
      <c r="J32" s="1516"/>
      <c r="K32" s="1395"/>
      <c r="L32" s="2183"/>
      <c r="M32" s="2183"/>
      <c r="N32" s="2183"/>
      <c r="O32" s="2183"/>
      <c r="P32" s="2183"/>
      <c r="Q32" s="2183"/>
      <c r="R32" s="2184"/>
      <c r="S32" s="2184"/>
      <c r="T32" s="2184"/>
      <c r="U32" s="2184"/>
      <c r="V32" s="2184"/>
      <c r="W32" s="2183"/>
      <c r="X32" s="2183"/>
      <c r="Y32" s="2183"/>
      <c r="Z32" s="2183"/>
      <c r="AA32" s="2183"/>
      <c r="AB32" s="2183"/>
      <c r="AC32" s="2183"/>
      <c r="AD32" s="1396"/>
      <c r="AE32" s="1396"/>
      <c r="AF32" s="1396"/>
      <c r="AG32" s="1396"/>
      <c r="AH32" s="1396"/>
      <c r="AI32" s="1396"/>
      <c r="AJ32" s="1399"/>
      <c r="AK32" s="1399"/>
      <c r="AL32" s="1399"/>
      <c r="AM32" s="1399"/>
    </row>
    <row r="33" spans="1:40" ht="12.75">
      <c r="A33" s="3531" t="s">
        <v>2958</v>
      </c>
      <c r="B33" s="1518" t="s">
        <v>999</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83"/>
      <c r="M33" s="2183"/>
      <c r="N33" s="2183"/>
      <c r="O33" s="2183"/>
      <c r="P33" s="2183"/>
      <c r="Q33" s="2183"/>
      <c r="R33" s="2184"/>
      <c r="S33" s="2184"/>
      <c r="T33" s="2184"/>
      <c r="U33" s="2184"/>
      <c r="V33" s="2184"/>
      <c r="W33" s="2183"/>
      <c r="X33" s="2183"/>
      <c r="Y33" s="2183"/>
      <c r="Z33" s="2183"/>
      <c r="AA33" s="2183"/>
      <c r="AB33" s="2183"/>
      <c r="AC33" s="2184"/>
    </row>
    <row r="34" spans="1:40" ht="12.75">
      <c r="A34" s="3532"/>
      <c r="B34" s="1439" t="s">
        <v>1000</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83"/>
      <c r="M34" s="2183"/>
      <c r="N34" s="2183"/>
      <c r="O34" s="2183"/>
      <c r="P34" s="2183"/>
      <c r="Q34" s="2183"/>
      <c r="R34" s="2184"/>
      <c r="S34" s="2184"/>
      <c r="T34" s="2184"/>
      <c r="U34" s="2184"/>
      <c r="V34" s="2184"/>
      <c r="W34" s="2183"/>
      <c r="X34" s="2183"/>
      <c r="Y34" s="2183"/>
      <c r="Z34" s="2183"/>
      <c r="AA34" s="2183"/>
      <c r="AB34" s="2183"/>
      <c r="AC34" s="2184"/>
    </row>
    <row r="35" spans="1:40" ht="12.75">
      <c r="A35" s="3532"/>
      <c r="B35" s="1439" t="s">
        <v>1001</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533"/>
      <c r="B36" s="1439" t="s">
        <v>1002</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83"/>
      <c r="M36" s="2183"/>
      <c r="N36" s="2183"/>
      <c r="O36" s="2183"/>
      <c r="P36" s="2183"/>
      <c r="Q36" s="2183"/>
      <c r="R36" s="2184"/>
      <c r="S36" s="2184"/>
      <c r="T36" s="2184"/>
      <c r="U36" s="2184"/>
      <c r="V36" s="2184"/>
      <c r="W36" s="2183"/>
      <c r="X36" s="2183"/>
      <c r="Y36" s="2183"/>
      <c r="Z36" s="2183"/>
      <c r="AA36" s="2183"/>
      <c r="AB36" s="2183"/>
      <c r="AC36" s="2184"/>
    </row>
    <row r="37" spans="1:40" ht="12.75">
      <c r="A37" s="1517"/>
      <c r="B37" s="1439" t="s">
        <v>1003</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1703</v>
      </c>
      <c r="M37" s="1539"/>
      <c r="N37" s="2183"/>
      <c r="O37" s="2183"/>
      <c r="P37" s="2183"/>
      <c r="Q37" s="2183"/>
      <c r="R37" s="2184"/>
      <c r="S37" s="2184"/>
      <c r="T37" s="2184"/>
      <c r="U37" s="2184"/>
      <c r="V37" s="2184"/>
      <c r="W37" s="2183"/>
      <c r="X37" s="2183"/>
      <c r="Y37" s="2183"/>
      <c r="Z37" s="2183"/>
      <c r="AA37" s="2183"/>
      <c r="AB37" s="2183"/>
      <c r="AC37" s="2184"/>
    </row>
    <row r="38" spans="1:40" ht="12.75">
      <c r="A38" s="1517"/>
      <c r="B38" s="1439" t="s">
        <v>1004</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1705</v>
      </c>
      <c r="M38" s="1541">
        <v>0.25</v>
      </c>
      <c r="N38" s="2183"/>
      <c r="O38" s="2183"/>
      <c r="P38" s="2183"/>
      <c r="Q38" s="2183"/>
      <c r="R38" s="2184"/>
      <c r="S38" s="2184"/>
      <c r="T38" s="2184"/>
      <c r="U38" s="2184"/>
      <c r="V38" s="2184"/>
      <c r="W38" s="2183"/>
      <c r="X38" s="2183"/>
      <c r="Y38" s="2183"/>
      <c r="Z38" s="2183"/>
      <c r="AA38" s="2183"/>
      <c r="AB38" s="2183"/>
      <c r="AC38" s="2184"/>
    </row>
    <row r="39" spans="1:40" ht="13.5" thickBot="1">
      <c r="A39" s="1502"/>
      <c r="B39" s="1520" t="s">
        <v>1005</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1704</v>
      </c>
      <c r="M39" s="1543">
        <v>0.15</v>
      </c>
      <c r="N39" s="2183"/>
      <c r="O39" s="2183"/>
      <c r="P39" s="2183"/>
      <c r="Q39" s="2183"/>
      <c r="R39" s="2184"/>
      <c r="S39" s="2184"/>
      <c r="T39" s="2184"/>
      <c r="U39" s="2184"/>
      <c r="V39" s="2184"/>
      <c r="W39" s="2183"/>
      <c r="X39" s="2183"/>
      <c r="Y39" s="2183"/>
      <c r="Z39" s="2183"/>
      <c r="AA39" s="2183"/>
      <c r="AB39" s="2183"/>
      <c r="AC39" s="2184"/>
    </row>
    <row r="40" spans="1:40" s="1396"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7"/>
      <c r="AE40" s="1397"/>
      <c r="AF40" s="1397"/>
      <c r="AG40" s="1397"/>
      <c r="AH40" s="1397"/>
      <c r="AI40" s="1397"/>
      <c r="AJ40" s="1397"/>
      <c r="AK40" s="1397"/>
      <c r="AL40" s="1397"/>
      <c r="AM40" s="1397"/>
    </row>
    <row r="41" spans="1:40" s="1396" customFormat="1">
      <c r="A41" s="1397"/>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7"/>
      <c r="AE41" s="1397"/>
      <c r="AF41" s="1397"/>
      <c r="AG41" s="1397"/>
      <c r="AH41" s="1397"/>
      <c r="AI41" s="1397"/>
      <c r="AJ41" s="1397"/>
      <c r="AK41" s="1397"/>
      <c r="AL41" s="1397"/>
      <c r="AM41" s="1397"/>
    </row>
    <row r="42" spans="1:40" s="1396" customFormat="1">
      <c r="A42" s="1397"/>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7"/>
      <c r="AE42" s="1397"/>
      <c r="AF42" s="1397"/>
      <c r="AG42" s="1397"/>
      <c r="AH42" s="1397"/>
      <c r="AI42" s="1397"/>
      <c r="AJ42" s="1397"/>
      <c r="AK42" s="1397"/>
      <c r="AL42" s="1397"/>
      <c r="AM42" s="1397"/>
    </row>
    <row r="43" spans="1:40" s="1396" customFormat="1">
      <c r="A43" s="1397"/>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7"/>
      <c r="AE43" s="1397"/>
      <c r="AF43" s="1397"/>
      <c r="AG43" s="1397"/>
      <c r="AH43" s="1397"/>
      <c r="AI43" s="1397"/>
      <c r="AJ43" s="1397"/>
      <c r="AK43" s="1397"/>
      <c r="AL43" s="1397"/>
      <c r="AM43" s="1397"/>
    </row>
    <row r="44" spans="1:40" s="1396" customFormat="1" ht="15" thickBot="1">
      <c r="A44" s="2435" t="s">
        <v>1006</v>
      </c>
      <c r="B44" s="2436"/>
      <c r="C44" s="2437"/>
      <c r="D44" s="2438"/>
      <c r="E44" s="2438"/>
      <c r="F44" s="2439"/>
      <c r="G44" s="1061"/>
      <c r="H44" s="2439"/>
      <c r="I44" s="1061"/>
      <c r="J44" s="1061"/>
      <c r="K44" s="1061"/>
      <c r="L44" s="1061"/>
      <c r="M44" s="1061"/>
      <c r="O44" s="2190"/>
      <c r="P44" s="2190"/>
      <c r="Q44" s="2190"/>
      <c r="R44" s="2191"/>
      <c r="S44" s="2191"/>
      <c r="T44" s="2191"/>
      <c r="U44" s="2191"/>
      <c r="V44" s="2191"/>
      <c r="W44" s="2190"/>
      <c r="X44" s="2190"/>
      <c r="Y44" s="2190"/>
      <c r="Z44" s="2190"/>
      <c r="AA44" s="2190"/>
      <c r="AB44" s="2190"/>
      <c r="AC44" s="2191"/>
      <c r="AD44" s="1397"/>
      <c r="AE44" s="1397"/>
      <c r="AF44" s="1397"/>
      <c r="AG44" s="1397"/>
      <c r="AH44" s="1397"/>
      <c r="AI44" s="1397"/>
      <c r="AJ44" s="1397"/>
      <c r="AK44" s="1397"/>
      <c r="AL44" s="1397"/>
      <c r="AM44" s="1397"/>
    </row>
    <row r="45" spans="1:40" s="1396" customFormat="1" ht="15">
      <c r="A45" s="2440" t="s">
        <v>1007</v>
      </c>
      <c r="B45" s="2441">
        <f>1+E47</f>
        <v>1</v>
      </c>
      <c r="C45" s="2442"/>
      <c r="D45" s="2443"/>
      <c r="E45" s="2444"/>
      <c r="F45" s="2445"/>
      <c r="G45" s="2439"/>
      <c r="H45" s="2439"/>
      <c r="I45" s="1061"/>
      <c r="J45" s="1061"/>
      <c r="K45" s="1061"/>
      <c r="L45" s="1061"/>
      <c r="M45" s="1061"/>
      <c r="O45" s="2190"/>
      <c r="P45" s="2190"/>
      <c r="Q45" s="2190"/>
      <c r="R45" s="2191"/>
      <c r="S45" s="2191"/>
      <c r="T45" s="2191"/>
      <c r="U45" s="2191"/>
      <c r="V45" s="2191"/>
      <c r="W45" s="2190"/>
      <c r="X45" s="2190"/>
      <c r="Y45" s="2190"/>
      <c r="Z45" s="2190"/>
      <c r="AA45" s="2190"/>
      <c r="AB45" s="2190"/>
      <c r="AC45" s="2191"/>
      <c r="AD45" s="1397"/>
      <c r="AE45" s="1397"/>
      <c r="AF45" s="1397"/>
      <c r="AG45" s="1397"/>
      <c r="AH45" s="1397"/>
      <c r="AI45" s="1397"/>
      <c r="AJ45" s="1397"/>
      <c r="AK45" s="1397"/>
      <c r="AL45" s="1397"/>
      <c r="AM45" s="1397"/>
    </row>
    <row r="46" spans="1:40" s="1396" customFormat="1" ht="24">
      <c r="A46" s="1062" t="s">
        <v>1008</v>
      </c>
      <c r="B46" s="2424" t="s">
        <v>1009</v>
      </c>
      <c r="C46" s="2446" t="s">
        <v>1010</v>
      </c>
      <c r="D46" s="2447" t="s">
        <v>1011</v>
      </c>
      <c r="E46" s="2448" t="s">
        <v>1013</v>
      </c>
      <c r="F46" s="2449" t="s">
        <v>2250</v>
      </c>
      <c r="G46" s="2447" t="s">
        <v>1014</v>
      </c>
      <c r="H46" s="2430" t="s">
        <v>2419</v>
      </c>
      <c r="I46" s="2447" t="s">
        <v>1012</v>
      </c>
      <c r="J46" s="2450" t="s">
        <v>1015</v>
      </c>
      <c r="K46" s="2450" t="s">
        <v>1016</v>
      </c>
      <c r="L46" s="2450" t="s">
        <v>1017</v>
      </c>
      <c r="M46" s="2450" t="s">
        <v>1018</v>
      </c>
      <c r="N46" s="2450" t="s">
        <v>1019</v>
      </c>
      <c r="P46" s="2190"/>
      <c r="Q46" s="2190"/>
      <c r="R46" s="2191"/>
      <c r="S46" s="2191"/>
      <c r="T46" s="2191"/>
      <c r="U46" s="2191"/>
      <c r="V46" s="2191"/>
      <c r="W46" s="2190"/>
      <c r="X46" s="2190"/>
      <c r="Y46" s="2190"/>
      <c r="Z46" s="2190"/>
      <c r="AA46" s="2190"/>
      <c r="AB46" s="2190"/>
      <c r="AC46" s="2190"/>
      <c r="AD46" s="2191"/>
      <c r="AE46" s="1397"/>
      <c r="AF46" s="1397"/>
      <c r="AG46" s="1397"/>
      <c r="AH46" s="1397"/>
      <c r="AI46" s="1397"/>
      <c r="AJ46" s="1397"/>
      <c r="AK46" s="1397"/>
      <c r="AL46" s="1397"/>
      <c r="AM46" s="1397"/>
      <c r="AN46" s="1397"/>
    </row>
    <row r="47" spans="1:40" s="1396" customFormat="1" ht="24">
      <c r="A47" s="1062" t="s">
        <v>1020</v>
      </c>
      <c r="B47" s="2427" t="str">
        <f>估价对象房地状况!C16</f>
        <v>津辰商贸城，一般</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0"/>
      <c r="Q47" s="2190"/>
      <c r="R47" s="2191"/>
      <c r="S47" s="2191"/>
      <c r="T47" s="2191"/>
      <c r="U47" s="2191"/>
      <c r="V47" s="2191"/>
      <c r="W47" s="2190"/>
      <c r="X47" s="2190"/>
      <c r="Y47" s="2190"/>
      <c r="Z47" s="2190"/>
      <c r="AA47" s="2190"/>
      <c r="AB47" s="2190"/>
      <c r="AC47" s="2190"/>
      <c r="AD47" s="2191"/>
      <c r="AE47" s="1397"/>
      <c r="AF47" s="1397"/>
      <c r="AG47" s="1397"/>
      <c r="AH47" s="1397"/>
      <c r="AI47" s="1397"/>
      <c r="AJ47" s="1397"/>
      <c r="AK47" s="1397"/>
      <c r="AL47" s="1397"/>
      <c r="AM47" s="1397"/>
      <c r="AN47" s="1397"/>
    </row>
    <row r="48" spans="1:40" s="1396" customFormat="1" ht="36">
      <c r="A48" s="1062" t="s">
        <v>1021</v>
      </c>
      <c r="B48" s="2424" t="str">
        <f>估价对象房地状况!C18</f>
        <v>750、804、909，路网密度一般，停车便捷程度一般，一般</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0"/>
      <c r="Q48" s="2190"/>
      <c r="R48" s="2191"/>
      <c r="S48" s="2191"/>
      <c r="T48" s="2191"/>
      <c r="U48" s="2191"/>
      <c r="V48" s="2191"/>
      <c r="W48" s="2190"/>
      <c r="X48" s="2190"/>
      <c r="Y48" s="2190"/>
      <c r="Z48" s="2190"/>
      <c r="AA48" s="2190"/>
      <c r="AB48" s="2190"/>
      <c r="AC48" s="2190"/>
      <c r="AD48" s="2191"/>
      <c r="AE48" s="1397"/>
      <c r="AF48" s="1397"/>
      <c r="AG48" s="1397"/>
      <c r="AH48" s="1397"/>
      <c r="AI48" s="1397"/>
      <c r="AJ48" s="1397"/>
      <c r="AK48" s="1397"/>
      <c r="AL48" s="1397"/>
      <c r="AM48" s="1397"/>
      <c r="AN48" s="1397"/>
    </row>
    <row r="49" spans="1:40" s="1396" customFormat="1" ht="24">
      <c r="A49" s="1062" t="s">
        <v>1022</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0"/>
      <c r="Q49" s="2190"/>
      <c r="R49" s="2191"/>
      <c r="S49" s="2191"/>
      <c r="T49" s="2191"/>
      <c r="U49" s="2191"/>
      <c r="V49" s="2191"/>
      <c r="W49" s="2190"/>
      <c r="X49" s="2190"/>
      <c r="Y49" s="2190"/>
      <c r="Z49" s="2190"/>
      <c r="AA49" s="2190"/>
      <c r="AB49" s="2190"/>
      <c r="AC49" s="2190"/>
      <c r="AD49" s="2191"/>
      <c r="AE49" s="1397"/>
      <c r="AF49" s="1397"/>
      <c r="AG49" s="1397"/>
      <c r="AH49" s="1397"/>
      <c r="AI49" s="1397"/>
      <c r="AJ49" s="1397"/>
      <c r="AK49" s="1397"/>
      <c r="AL49" s="1397"/>
      <c r="AM49" s="1397"/>
      <c r="AN49" s="1397"/>
    </row>
    <row r="50" spans="1:40" s="1396" customFormat="1" ht="36">
      <c r="A50" s="1062" t="s">
        <v>1023</v>
      </c>
      <c r="B50" s="3109" t="s">
        <v>2934</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0"/>
      <c r="Q50" s="2190"/>
      <c r="R50" s="2191"/>
      <c r="S50" s="2191"/>
      <c r="T50" s="2191"/>
      <c r="U50" s="2191"/>
      <c r="V50" s="2191"/>
      <c r="W50" s="2190"/>
      <c r="X50" s="2190"/>
      <c r="Y50" s="2190"/>
      <c r="Z50" s="2190"/>
      <c r="AA50" s="2190"/>
      <c r="AB50" s="2190"/>
      <c r="AC50" s="2190"/>
      <c r="AD50" s="2191"/>
      <c r="AE50" s="1397"/>
      <c r="AF50" s="1397"/>
      <c r="AG50" s="1397"/>
      <c r="AH50" s="1397"/>
      <c r="AI50" s="1397"/>
      <c r="AJ50" s="1397"/>
      <c r="AK50" s="1397"/>
      <c r="AL50" s="1397"/>
      <c r="AM50" s="1397"/>
      <c r="AN50" s="1397"/>
    </row>
    <row r="51" spans="1:40" s="1396" customFormat="1" ht="24">
      <c r="A51" s="1062" t="s">
        <v>1024</v>
      </c>
      <c r="B51" s="2424" t="str">
        <f>估价对象房地状况!C24</f>
        <v>次</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0"/>
      <c r="Q51" s="2190"/>
      <c r="R51" s="2191"/>
      <c r="S51" s="2191"/>
      <c r="T51" s="2191"/>
      <c r="U51" s="2191"/>
      <c r="V51" s="2191"/>
      <c r="W51" s="2190"/>
      <c r="X51" s="2190"/>
      <c r="Y51" s="2190"/>
      <c r="Z51" s="2190"/>
      <c r="AA51" s="2190"/>
      <c r="AB51" s="2190"/>
      <c r="AC51" s="2190"/>
      <c r="AD51" s="2191"/>
      <c r="AE51" s="1397"/>
      <c r="AF51" s="1397"/>
      <c r="AG51" s="1397"/>
      <c r="AH51" s="1397"/>
      <c r="AI51" s="1397"/>
      <c r="AJ51" s="1397"/>
      <c r="AK51" s="1397"/>
      <c r="AL51" s="1397"/>
      <c r="AM51" s="1397"/>
      <c r="AN51" s="1397"/>
    </row>
    <row r="52" spans="1:40" s="1396" customFormat="1" ht="24">
      <c r="A52" s="1062" t="s">
        <v>1025</v>
      </c>
      <c r="B52" s="3108" t="s">
        <v>2933</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0"/>
      <c r="Q52" s="2190"/>
      <c r="R52" s="2191"/>
      <c r="S52" s="2191"/>
      <c r="T52" s="2191"/>
      <c r="U52" s="2191"/>
      <c r="V52" s="2191"/>
      <c r="W52" s="2190"/>
      <c r="X52" s="2190"/>
      <c r="Y52" s="2190"/>
      <c r="Z52" s="2190"/>
      <c r="AA52" s="2190"/>
      <c r="AB52" s="2190"/>
      <c r="AC52" s="2190"/>
      <c r="AD52" s="2191"/>
      <c r="AE52" s="1397"/>
      <c r="AF52" s="1397"/>
      <c r="AG52" s="1397"/>
      <c r="AH52" s="1397"/>
      <c r="AI52" s="1397"/>
      <c r="AJ52" s="1397"/>
      <c r="AK52" s="1397"/>
      <c r="AL52" s="1397"/>
      <c r="AM52" s="1397"/>
      <c r="AN52" s="1397"/>
    </row>
    <row r="53" spans="1:40" s="1396" customFormat="1" ht="24">
      <c r="A53" s="2456" t="s">
        <v>1026</v>
      </c>
      <c r="B53" s="2425" t="str">
        <f>估价对象房地状况!C21</f>
        <v>较好</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0"/>
      <c r="Q53" s="2190"/>
      <c r="R53" s="2191"/>
      <c r="S53" s="2191"/>
      <c r="T53" s="2191"/>
      <c r="U53" s="2191"/>
      <c r="V53" s="2191"/>
      <c r="W53" s="2190"/>
      <c r="X53" s="2190"/>
      <c r="Y53" s="2190"/>
      <c r="Z53" s="2190"/>
      <c r="AA53" s="2190"/>
      <c r="AB53" s="2190"/>
      <c r="AC53" s="2190"/>
      <c r="AD53" s="2191"/>
      <c r="AE53" s="1397"/>
      <c r="AF53" s="1397"/>
      <c r="AG53" s="1397"/>
      <c r="AH53" s="1397"/>
      <c r="AI53" s="1397"/>
      <c r="AJ53" s="1397"/>
      <c r="AK53" s="1397"/>
      <c r="AL53" s="1397"/>
      <c r="AM53" s="1397"/>
      <c r="AN53" s="1397"/>
    </row>
    <row r="54" spans="1:40" s="1396" customFormat="1" ht="24">
      <c r="A54" s="2456" t="s">
        <v>1027</v>
      </c>
      <c r="B54" s="2424" t="str">
        <f>估价对象房地状况!C22</f>
        <v>七通</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0"/>
      <c r="Q54" s="2190"/>
      <c r="R54" s="2191"/>
      <c r="S54" s="2191"/>
      <c r="T54" s="2191"/>
      <c r="U54" s="2191"/>
      <c r="V54" s="2191"/>
      <c r="W54" s="2190"/>
      <c r="X54" s="2190"/>
      <c r="Y54" s="2190"/>
      <c r="Z54" s="2190"/>
      <c r="AA54" s="2190"/>
      <c r="AB54" s="2190"/>
      <c r="AC54" s="2190"/>
      <c r="AD54" s="2191"/>
      <c r="AE54" s="1397"/>
      <c r="AF54" s="1397"/>
      <c r="AG54" s="1397"/>
      <c r="AH54" s="1397"/>
      <c r="AI54" s="1397"/>
      <c r="AJ54" s="1397"/>
      <c r="AK54" s="1397"/>
      <c r="AL54" s="1397"/>
      <c r="AM54" s="1397"/>
      <c r="AN54" s="1397"/>
    </row>
    <row r="55" spans="1:40" s="1396" customFormat="1" ht="24.75" thickBot="1">
      <c r="A55" s="2457" t="s">
        <v>1028</v>
      </c>
      <c r="B55" s="2428" t="str">
        <f>估价对象房地状况!C20</f>
        <v>有公园，无人文，一般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0"/>
      <c r="Q55" s="2190"/>
      <c r="R55" s="2191"/>
      <c r="S55" s="2191"/>
      <c r="T55" s="2191"/>
      <c r="U55" s="2191"/>
      <c r="V55" s="2191"/>
      <c r="W55" s="2190"/>
      <c r="X55" s="2190"/>
      <c r="Y55" s="2190"/>
      <c r="Z55" s="2190"/>
      <c r="AA55" s="2190"/>
      <c r="AB55" s="2190"/>
      <c r="AC55" s="2190"/>
      <c r="AD55" s="2191"/>
      <c r="AE55" s="1397"/>
      <c r="AF55" s="1397"/>
      <c r="AG55" s="1397"/>
      <c r="AH55" s="1397"/>
      <c r="AI55" s="1397"/>
      <c r="AJ55" s="1397"/>
      <c r="AK55" s="1397"/>
      <c r="AL55" s="1397"/>
      <c r="AM55" s="1397"/>
      <c r="AN55" s="1397"/>
    </row>
    <row r="56" spans="1:40" s="1396" customFormat="1" ht="15">
      <c r="A56" s="2440" t="s">
        <v>1029</v>
      </c>
      <c r="B56" s="2441">
        <f>1+E58</f>
        <v>1</v>
      </c>
      <c r="C56" s="2460"/>
      <c r="D56" s="2443"/>
      <c r="E56" s="2444"/>
      <c r="F56" s="2445"/>
      <c r="G56" s="2439"/>
      <c r="H56" s="2439"/>
      <c r="I56" s="2439"/>
      <c r="J56" s="1061"/>
      <c r="K56" s="1061"/>
      <c r="L56" s="1061"/>
      <c r="M56" s="1061"/>
      <c r="N56" s="1061"/>
      <c r="P56" s="2190"/>
      <c r="Q56" s="2190"/>
      <c r="R56" s="2191"/>
      <c r="S56" s="2191"/>
      <c r="T56" s="2191"/>
      <c r="U56" s="2191"/>
      <c r="V56" s="2191"/>
      <c r="W56" s="2190"/>
      <c r="X56" s="2190"/>
      <c r="Y56" s="2190"/>
      <c r="Z56" s="2190"/>
      <c r="AA56" s="2190"/>
      <c r="AB56" s="2190"/>
      <c r="AC56" s="2190"/>
      <c r="AD56" s="2191"/>
      <c r="AE56" s="1397"/>
      <c r="AF56" s="1397"/>
      <c r="AG56" s="1397"/>
      <c r="AH56" s="1397"/>
      <c r="AI56" s="1397"/>
      <c r="AJ56" s="1397"/>
      <c r="AK56" s="1397"/>
      <c r="AL56" s="1397"/>
      <c r="AM56" s="1397"/>
      <c r="AN56" s="1397"/>
    </row>
    <row r="57" spans="1:40" s="1396" customFormat="1" ht="24">
      <c r="A57" s="1062" t="s">
        <v>1008</v>
      </c>
      <c r="B57" s="2424"/>
      <c r="C57" s="2446" t="s">
        <v>1010</v>
      </c>
      <c r="D57" s="2447" t="s">
        <v>1011</v>
      </c>
      <c r="E57" s="2448" t="s">
        <v>1013</v>
      </c>
      <c r="F57" s="2449" t="s">
        <v>2251</v>
      </c>
      <c r="G57" s="2447" t="s">
        <v>1014</v>
      </c>
      <c r="H57" s="2430" t="s">
        <v>2419</v>
      </c>
      <c r="I57" s="2447" t="s">
        <v>1012</v>
      </c>
      <c r="J57" s="2450" t="s">
        <v>1015</v>
      </c>
      <c r="K57" s="2450" t="s">
        <v>1016</v>
      </c>
      <c r="L57" s="2450" t="s">
        <v>1017</v>
      </c>
      <c r="M57" s="2450" t="s">
        <v>1018</v>
      </c>
      <c r="N57" s="2450" t="s">
        <v>1019</v>
      </c>
      <c r="P57" s="2190"/>
      <c r="Q57" s="2190"/>
      <c r="R57" s="2191"/>
      <c r="S57" s="2191"/>
      <c r="T57" s="2191"/>
      <c r="U57" s="2191"/>
      <c r="V57" s="2191"/>
      <c r="W57" s="2190"/>
      <c r="X57" s="2190"/>
      <c r="Y57" s="2190"/>
      <c r="Z57" s="2190"/>
      <c r="AA57" s="2190"/>
      <c r="AB57" s="2190"/>
      <c r="AC57" s="2190"/>
      <c r="AD57" s="2191"/>
      <c r="AE57" s="1397"/>
      <c r="AF57" s="1397"/>
      <c r="AG57" s="1397"/>
      <c r="AH57" s="1397"/>
      <c r="AI57" s="1397"/>
      <c r="AJ57" s="1397"/>
      <c r="AK57" s="1397"/>
      <c r="AL57" s="1397"/>
      <c r="AM57" s="1397"/>
      <c r="AN57" s="1397"/>
    </row>
    <row r="58" spans="1:40" s="1396" customFormat="1" ht="24">
      <c r="A58" s="1062" t="s">
        <v>1030</v>
      </c>
      <c r="B58" s="2427" t="str">
        <f>估价对象房地状况!C17</f>
        <v>——</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0"/>
      <c r="Q58" s="2190"/>
      <c r="R58" s="2191"/>
      <c r="S58" s="2191"/>
      <c r="T58" s="2191"/>
      <c r="U58" s="2191"/>
      <c r="V58" s="2191"/>
      <c r="W58" s="2190"/>
      <c r="X58" s="2190"/>
      <c r="Y58" s="2190"/>
      <c r="Z58" s="2190"/>
      <c r="AA58" s="2190"/>
      <c r="AB58" s="2190"/>
      <c r="AC58" s="2190"/>
      <c r="AD58" s="2191"/>
      <c r="AE58" s="1397"/>
      <c r="AF58" s="1397"/>
      <c r="AG58" s="1397"/>
      <c r="AH58" s="1397"/>
      <c r="AI58" s="1397"/>
      <c r="AJ58" s="1397"/>
      <c r="AK58" s="1397"/>
      <c r="AL58" s="1397"/>
      <c r="AM58" s="1397"/>
      <c r="AN58" s="1397"/>
    </row>
    <row r="59" spans="1:40" s="1396" customFormat="1" ht="36">
      <c r="A59" s="1062" t="s">
        <v>1021</v>
      </c>
      <c r="B59" s="2424" t="str">
        <f>估价对象房地状况!C18</f>
        <v>750、804、909，路网密度一般，停车便捷程度一般，一般</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0"/>
      <c r="Q59" s="2190"/>
      <c r="R59" s="2191"/>
      <c r="S59" s="2191"/>
      <c r="T59" s="2191"/>
      <c r="U59" s="2191"/>
      <c r="V59" s="2191"/>
      <c r="W59" s="2190"/>
      <c r="X59" s="2190"/>
      <c r="Y59" s="2190"/>
      <c r="Z59" s="2190"/>
      <c r="AA59" s="2190"/>
      <c r="AB59" s="2190"/>
      <c r="AC59" s="2190"/>
      <c r="AD59" s="2191"/>
      <c r="AE59" s="1397"/>
      <c r="AF59" s="1397"/>
      <c r="AG59" s="1397"/>
      <c r="AH59" s="1397"/>
      <c r="AI59" s="1397"/>
      <c r="AJ59" s="1397"/>
      <c r="AK59" s="1397"/>
      <c r="AL59" s="1397"/>
      <c r="AM59" s="1397"/>
      <c r="AN59" s="1397"/>
    </row>
    <row r="60" spans="1:40" s="1396" customFormat="1" ht="24">
      <c r="A60" s="1062" t="s">
        <v>1022</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0"/>
      <c r="Q60" s="2190"/>
      <c r="R60" s="2191"/>
      <c r="S60" s="2191"/>
      <c r="T60" s="2191"/>
      <c r="U60" s="2191"/>
      <c r="V60" s="2191"/>
      <c r="W60" s="2190"/>
      <c r="X60" s="2190"/>
      <c r="Y60" s="2190"/>
      <c r="Z60" s="2190"/>
      <c r="AA60" s="2190"/>
      <c r="AB60" s="2190"/>
      <c r="AC60" s="2190"/>
      <c r="AD60" s="2191"/>
      <c r="AE60" s="1397"/>
      <c r="AF60" s="1397"/>
      <c r="AG60" s="1397"/>
      <c r="AH60" s="1397"/>
      <c r="AI60" s="1397"/>
      <c r="AJ60" s="1397"/>
      <c r="AK60" s="1397"/>
      <c r="AL60" s="1397"/>
      <c r="AM60" s="1397"/>
      <c r="AN60" s="1397"/>
    </row>
    <row r="61" spans="1:40" s="1396" customFormat="1" ht="36">
      <c r="A61" s="1062" t="s">
        <v>1023</v>
      </c>
      <c r="B61" s="3109" t="s">
        <v>2935</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0"/>
      <c r="Q61" s="2190"/>
      <c r="R61" s="2191"/>
      <c r="S61" s="2191"/>
      <c r="T61" s="2191"/>
      <c r="U61" s="2191"/>
      <c r="V61" s="2191"/>
      <c r="W61" s="2190"/>
      <c r="X61" s="2190"/>
      <c r="Y61" s="2190"/>
      <c r="Z61" s="2190"/>
      <c r="AA61" s="2190"/>
      <c r="AB61" s="2190"/>
      <c r="AC61" s="2190"/>
      <c r="AD61" s="2191"/>
      <c r="AE61" s="1397"/>
      <c r="AF61" s="1397"/>
      <c r="AG61" s="1397"/>
      <c r="AH61" s="1397"/>
      <c r="AI61" s="1397"/>
      <c r="AJ61" s="1397"/>
      <c r="AK61" s="1397"/>
      <c r="AL61" s="1397"/>
      <c r="AM61" s="1397"/>
      <c r="AN61" s="1397"/>
    </row>
    <row r="62" spans="1:40" s="1396" customFormat="1" ht="24">
      <c r="A62" s="1062" t="s">
        <v>1024</v>
      </c>
      <c r="B62" s="2424" t="str">
        <f>估价对象房地状况!C24</f>
        <v>次</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0"/>
      <c r="Q62" s="2190"/>
      <c r="R62" s="2191"/>
      <c r="S62" s="2191"/>
      <c r="T62" s="2191"/>
      <c r="U62" s="2191"/>
      <c r="V62" s="2191"/>
      <c r="W62" s="2190"/>
      <c r="X62" s="2190"/>
      <c r="Y62" s="2190"/>
      <c r="Z62" s="2190"/>
      <c r="AA62" s="2190"/>
      <c r="AB62" s="2190"/>
      <c r="AC62" s="2190"/>
      <c r="AD62" s="2191"/>
      <c r="AE62" s="1397"/>
      <c r="AF62" s="1397"/>
      <c r="AG62" s="1397"/>
      <c r="AH62" s="1397"/>
      <c r="AI62" s="1397"/>
      <c r="AJ62" s="1397"/>
      <c r="AK62" s="1397"/>
      <c r="AL62" s="1397"/>
      <c r="AM62" s="1397"/>
      <c r="AN62" s="1397"/>
    </row>
    <row r="63" spans="1:40" s="1396" customFormat="1" ht="24">
      <c r="A63" s="1062" t="s">
        <v>1025</v>
      </c>
      <c r="B63" s="3108" t="s">
        <v>2933</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0"/>
      <c r="Q63" s="2190"/>
      <c r="R63" s="2191"/>
      <c r="S63" s="2191"/>
      <c r="T63" s="2191"/>
      <c r="U63" s="2191"/>
      <c r="V63" s="2191"/>
      <c r="W63" s="2190"/>
      <c r="X63" s="2190"/>
      <c r="Y63" s="2190"/>
      <c r="Z63" s="2190"/>
      <c r="AA63" s="2190"/>
      <c r="AB63" s="2190"/>
      <c r="AC63" s="2190"/>
      <c r="AD63" s="2191"/>
      <c r="AE63" s="1397"/>
      <c r="AF63" s="1397"/>
      <c r="AG63" s="1397"/>
      <c r="AH63" s="1397"/>
      <c r="AI63" s="1397"/>
      <c r="AJ63" s="1397"/>
      <c r="AK63" s="1397"/>
      <c r="AL63" s="1397"/>
      <c r="AM63" s="1397"/>
      <c r="AN63" s="1397"/>
    </row>
    <row r="64" spans="1:40" s="1396" customFormat="1" ht="24">
      <c r="A64" s="1062" t="s">
        <v>1026</v>
      </c>
      <c r="B64" s="2425" t="str">
        <f>估价对象房地状况!C21</f>
        <v>较好</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0"/>
      <c r="Q64" s="2190"/>
      <c r="R64" s="2191"/>
      <c r="S64" s="2191"/>
      <c r="T64" s="2191"/>
      <c r="U64" s="2191"/>
      <c r="V64" s="2191"/>
      <c r="W64" s="2190"/>
      <c r="X64" s="2190"/>
      <c r="Y64" s="2190"/>
      <c r="Z64" s="2190"/>
      <c r="AA64" s="2190"/>
      <c r="AB64" s="2190"/>
      <c r="AC64" s="2190"/>
      <c r="AD64" s="2191"/>
      <c r="AE64" s="1397"/>
      <c r="AF64" s="1397"/>
      <c r="AG64" s="1397"/>
      <c r="AH64" s="1397"/>
      <c r="AI64" s="1397"/>
      <c r="AJ64" s="1397"/>
      <c r="AK64" s="1397"/>
      <c r="AL64" s="1397"/>
      <c r="AM64" s="1397"/>
      <c r="AN64" s="1397"/>
    </row>
    <row r="65" spans="1:40" s="1396" customFormat="1" ht="24">
      <c r="A65" s="1062" t="s">
        <v>1027</v>
      </c>
      <c r="B65" s="2425" t="str">
        <f>估价对象房地状况!C22</f>
        <v>七通</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0"/>
      <c r="Q65" s="2190"/>
      <c r="R65" s="2191"/>
      <c r="S65" s="2191"/>
      <c r="T65" s="2191"/>
      <c r="U65" s="2191"/>
      <c r="V65" s="2191"/>
      <c r="W65" s="2190"/>
      <c r="X65" s="2190"/>
      <c r="Y65" s="2190"/>
      <c r="Z65" s="2190"/>
      <c r="AA65" s="2190"/>
      <c r="AB65" s="2190"/>
      <c r="AC65" s="2190"/>
      <c r="AD65" s="2191"/>
      <c r="AE65" s="1397"/>
      <c r="AF65" s="1397"/>
      <c r="AG65" s="1397"/>
      <c r="AH65" s="1397"/>
      <c r="AI65" s="1397"/>
      <c r="AJ65" s="1397"/>
      <c r="AK65" s="1397"/>
      <c r="AL65" s="1397"/>
      <c r="AM65" s="1397"/>
      <c r="AN65" s="1397"/>
    </row>
    <row r="66" spans="1:40" s="1396" customFormat="1" ht="24.75" thickBot="1">
      <c r="A66" s="2457" t="s">
        <v>1028</v>
      </c>
      <c r="B66" s="2429" t="str">
        <f>估价对象房地状况!C20</f>
        <v>有公园，无人文，一般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0"/>
      <c r="Q66" s="2190"/>
      <c r="R66" s="2191"/>
      <c r="S66" s="2191"/>
      <c r="T66" s="2191"/>
      <c r="U66" s="2191"/>
      <c r="V66" s="2191"/>
      <c r="W66" s="2190"/>
      <c r="X66" s="2190"/>
      <c r="Y66" s="2190"/>
      <c r="Z66" s="2190"/>
      <c r="AA66" s="2190"/>
      <c r="AB66" s="2190"/>
      <c r="AC66" s="2190"/>
      <c r="AD66" s="2191"/>
      <c r="AE66" s="1397"/>
      <c r="AF66" s="1397"/>
      <c r="AG66" s="1397"/>
      <c r="AH66" s="1397"/>
      <c r="AI66" s="1397"/>
      <c r="AJ66" s="1397"/>
      <c r="AK66" s="1397"/>
      <c r="AL66" s="1397"/>
      <c r="AM66" s="1397"/>
      <c r="AN66" s="1397"/>
    </row>
    <row r="67" spans="1:40" s="1396" customFormat="1" ht="15">
      <c r="A67" s="2440" t="s">
        <v>1031</v>
      </c>
      <c r="B67" s="2441">
        <f>1+E69</f>
        <v>1</v>
      </c>
      <c r="C67" s="2460"/>
      <c r="D67" s="2443"/>
      <c r="E67" s="2444"/>
      <c r="F67" s="2445"/>
      <c r="G67" s="2439"/>
      <c r="H67" s="2439"/>
      <c r="I67" s="2439"/>
      <c r="J67" s="1061"/>
      <c r="K67" s="1061"/>
      <c r="L67" s="1061"/>
      <c r="M67" s="1061"/>
      <c r="N67" s="1061"/>
      <c r="P67" s="2190"/>
      <c r="Q67" s="2190"/>
      <c r="R67" s="2191"/>
      <c r="S67" s="2191"/>
      <c r="T67" s="2191"/>
      <c r="U67" s="2191"/>
      <c r="V67" s="2191"/>
      <c r="W67" s="2190"/>
      <c r="X67" s="2190"/>
      <c r="Y67" s="2190"/>
      <c r="Z67" s="2190"/>
      <c r="AA67" s="2190"/>
      <c r="AB67" s="2190"/>
      <c r="AC67" s="2190"/>
      <c r="AD67" s="2191"/>
      <c r="AE67" s="1397"/>
      <c r="AF67" s="1397"/>
      <c r="AG67" s="1397"/>
      <c r="AH67" s="1397"/>
      <c r="AI67" s="1397"/>
      <c r="AJ67" s="1397"/>
      <c r="AK67" s="1397"/>
      <c r="AL67" s="1397"/>
      <c r="AM67" s="1397"/>
      <c r="AN67" s="1397"/>
    </row>
    <row r="68" spans="1:40" s="1396" customFormat="1" ht="24">
      <c r="A68" s="1062" t="s">
        <v>1008</v>
      </c>
      <c r="B68" s="2424"/>
      <c r="C68" s="2446" t="s">
        <v>1010</v>
      </c>
      <c r="D68" s="2447" t="s">
        <v>1011</v>
      </c>
      <c r="E68" s="2448" t="s">
        <v>1013</v>
      </c>
      <c r="F68" s="2449" t="s">
        <v>2252</v>
      </c>
      <c r="G68" s="2447" t="s">
        <v>1014</v>
      </c>
      <c r="H68" s="2430" t="s">
        <v>2419</v>
      </c>
      <c r="I68" s="2447" t="s">
        <v>1012</v>
      </c>
      <c r="J68" s="2450" t="s">
        <v>1015</v>
      </c>
      <c r="K68" s="2450" t="s">
        <v>1016</v>
      </c>
      <c r="L68" s="2450" t="s">
        <v>1017</v>
      </c>
      <c r="M68" s="2450" t="s">
        <v>1018</v>
      </c>
      <c r="N68" s="2450" t="s">
        <v>1019</v>
      </c>
      <c r="P68" s="2190"/>
      <c r="Q68" s="2190"/>
      <c r="R68" s="2191"/>
      <c r="S68" s="2191"/>
      <c r="T68" s="2191"/>
      <c r="U68" s="2191"/>
      <c r="V68" s="2191"/>
      <c r="W68" s="2190"/>
      <c r="X68" s="2190"/>
      <c r="Y68" s="2190"/>
      <c r="Z68" s="2190"/>
      <c r="AA68" s="2190"/>
      <c r="AB68" s="2190"/>
      <c r="AC68" s="2190"/>
      <c r="AD68" s="2191"/>
      <c r="AE68" s="1397"/>
      <c r="AF68" s="1397"/>
      <c r="AG68" s="1397"/>
      <c r="AH68" s="1397"/>
      <c r="AI68" s="1397"/>
      <c r="AJ68" s="1397"/>
      <c r="AK68" s="1397"/>
      <c r="AL68" s="1397"/>
      <c r="AM68" s="1397"/>
      <c r="AN68" s="1397"/>
    </row>
    <row r="69" spans="1:40" s="1396" customFormat="1" ht="36">
      <c r="A69" s="1062" t="s">
        <v>1032</v>
      </c>
      <c r="B69" s="2427" t="str">
        <f>估价对象房地状况!C15</f>
        <v>都旺新城、朝阳里等，分布密度一般，入住率一般，一般</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0"/>
      <c r="Q69" s="2190"/>
      <c r="R69" s="2191"/>
      <c r="S69" s="2191"/>
      <c r="T69" s="2191"/>
      <c r="U69" s="2191"/>
      <c r="V69" s="2191"/>
      <c r="W69" s="2190"/>
      <c r="X69" s="2190"/>
      <c r="Y69" s="2190"/>
      <c r="Z69" s="2190"/>
      <c r="AA69" s="2190"/>
      <c r="AB69" s="2190"/>
      <c r="AC69" s="2190"/>
      <c r="AD69" s="2191"/>
      <c r="AE69" s="1397"/>
      <c r="AF69" s="1397"/>
      <c r="AG69" s="1397"/>
      <c r="AH69" s="1397"/>
      <c r="AI69" s="1397"/>
      <c r="AJ69" s="1397"/>
      <c r="AK69" s="1397"/>
      <c r="AL69" s="1397"/>
      <c r="AM69" s="1397"/>
      <c r="AN69" s="1397"/>
    </row>
    <row r="70" spans="1:40" s="1396" customFormat="1" ht="36">
      <c r="A70" s="1062" t="s">
        <v>1033</v>
      </c>
      <c r="B70" s="2424" t="str">
        <f>估价对象房地状况!C18</f>
        <v>750、804、909，路网密度一般，停车便捷程度一般，一般</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0"/>
      <c r="Q70" s="2190"/>
      <c r="R70" s="2191"/>
      <c r="S70" s="2191"/>
      <c r="T70" s="2191"/>
      <c r="U70" s="2191"/>
      <c r="V70" s="2191"/>
      <c r="W70" s="2190"/>
      <c r="X70" s="2190"/>
      <c r="Y70" s="2190"/>
      <c r="Z70" s="2190"/>
      <c r="AA70" s="2190"/>
      <c r="AB70" s="2190"/>
      <c r="AC70" s="2190"/>
      <c r="AD70" s="2191"/>
      <c r="AE70" s="1397"/>
      <c r="AF70" s="1397"/>
      <c r="AG70" s="1397"/>
      <c r="AH70" s="1397"/>
      <c r="AI70" s="1397"/>
      <c r="AJ70" s="1397"/>
      <c r="AK70" s="1397"/>
      <c r="AL70" s="1397"/>
      <c r="AM70" s="1397"/>
      <c r="AN70" s="1397"/>
    </row>
    <row r="71" spans="1:40" s="1396" customFormat="1" ht="24">
      <c r="A71" s="1062" t="s">
        <v>1022</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0"/>
      <c r="Q71" s="2190"/>
      <c r="R71" s="2191"/>
      <c r="S71" s="2191"/>
      <c r="T71" s="2191"/>
      <c r="U71" s="2191"/>
      <c r="V71" s="2191"/>
      <c r="W71" s="2190"/>
      <c r="X71" s="2190"/>
      <c r="Y71" s="2190"/>
      <c r="Z71" s="2190"/>
      <c r="AA71" s="2190"/>
      <c r="AB71" s="2190"/>
      <c r="AC71" s="2190"/>
      <c r="AD71" s="2191"/>
      <c r="AE71" s="1397"/>
      <c r="AF71" s="1397"/>
      <c r="AG71" s="1397"/>
      <c r="AH71" s="1397"/>
      <c r="AI71" s="1397"/>
      <c r="AJ71" s="1397"/>
      <c r="AK71" s="1397"/>
      <c r="AL71" s="1397"/>
      <c r="AM71" s="1397"/>
      <c r="AN71" s="1397"/>
    </row>
    <row r="72" spans="1:40" s="1396" customFormat="1" ht="14.25">
      <c r="A72" s="1062" t="s">
        <v>1034</v>
      </c>
      <c r="B72" s="2424" t="str">
        <f>估价对象房地状况!C24</f>
        <v>次</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0"/>
      <c r="Q72" s="2190"/>
      <c r="R72" s="2191"/>
      <c r="S72" s="2191"/>
      <c r="T72" s="2191"/>
      <c r="U72" s="2191"/>
      <c r="V72" s="2191"/>
      <c r="W72" s="2190"/>
      <c r="X72" s="2190"/>
      <c r="Y72" s="2190"/>
      <c r="Z72" s="2190"/>
      <c r="AA72" s="2190"/>
      <c r="AB72" s="2190"/>
      <c r="AC72" s="2190"/>
      <c r="AD72" s="2191"/>
      <c r="AE72" s="1397"/>
      <c r="AF72" s="1397"/>
      <c r="AG72" s="1397"/>
      <c r="AH72" s="1397"/>
      <c r="AI72" s="1397"/>
      <c r="AJ72" s="1397"/>
      <c r="AK72" s="1397"/>
      <c r="AL72" s="1397"/>
      <c r="AM72" s="1397"/>
      <c r="AN72" s="1397"/>
    </row>
    <row r="73" spans="1:40" s="1396" customFormat="1" ht="24">
      <c r="A73" s="1062" t="s">
        <v>1026</v>
      </c>
      <c r="B73" s="2425" t="str">
        <f>估价对象房地状况!C21</f>
        <v>较好</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0"/>
      <c r="Q73" s="2190"/>
      <c r="R73" s="2191"/>
      <c r="S73" s="2191"/>
      <c r="T73" s="2191"/>
      <c r="U73" s="2191"/>
      <c r="V73" s="2191"/>
      <c r="W73" s="2190"/>
      <c r="X73" s="2190"/>
      <c r="Y73" s="2190"/>
      <c r="Z73" s="2190"/>
      <c r="AA73" s="2190"/>
      <c r="AB73" s="2190"/>
      <c r="AC73" s="2190"/>
      <c r="AD73" s="2191"/>
      <c r="AE73" s="1397"/>
      <c r="AF73" s="1397"/>
      <c r="AG73" s="1397"/>
      <c r="AH73" s="1397"/>
      <c r="AI73" s="1397"/>
      <c r="AJ73" s="1397"/>
      <c r="AK73" s="1397"/>
      <c r="AL73" s="1397"/>
      <c r="AM73" s="1397"/>
      <c r="AN73" s="1397"/>
    </row>
    <row r="74" spans="1:40" s="1396" customFormat="1" ht="24">
      <c r="A74" s="1062" t="s">
        <v>1027</v>
      </c>
      <c r="B74" s="2425" t="str">
        <f>估价对象房地状况!C22</f>
        <v>七通</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0"/>
      <c r="Q74" s="2190"/>
      <c r="R74" s="2191"/>
      <c r="S74" s="2191"/>
      <c r="T74" s="2191"/>
      <c r="U74" s="2191"/>
      <c r="V74" s="2191"/>
      <c r="W74" s="2190"/>
      <c r="X74" s="2190"/>
      <c r="Y74" s="2190"/>
      <c r="Z74" s="2190"/>
      <c r="AA74" s="2190"/>
      <c r="AB74" s="2190"/>
      <c r="AC74" s="2190"/>
      <c r="AD74" s="2191"/>
      <c r="AE74" s="1397"/>
      <c r="AF74" s="1397"/>
      <c r="AG74" s="1397"/>
      <c r="AH74" s="1397"/>
      <c r="AI74" s="1397"/>
      <c r="AJ74" s="1397"/>
      <c r="AK74" s="1397"/>
      <c r="AL74" s="1397"/>
      <c r="AM74" s="1397"/>
      <c r="AN74" s="1397"/>
    </row>
    <row r="75" spans="1:40" s="1396" customFormat="1" ht="24">
      <c r="A75" s="1062" t="s">
        <v>1025</v>
      </c>
      <c r="B75" s="3108" t="s">
        <v>2933</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0"/>
      <c r="Q75" s="2190"/>
      <c r="R75" s="2191"/>
      <c r="S75" s="2191"/>
      <c r="T75" s="2191"/>
      <c r="U75" s="2191"/>
      <c r="V75" s="2191"/>
      <c r="W75" s="2190"/>
      <c r="X75" s="2190"/>
      <c r="Y75" s="2190"/>
      <c r="Z75" s="2190"/>
      <c r="AA75" s="2190"/>
      <c r="AB75" s="2190"/>
      <c r="AC75" s="2190"/>
      <c r="AD75" s="2191"/>
      <c r="AE75" s="1397"/>
      <c r="AF75" s="1397"/>
      <c r="AG75" s="1397"/>
      <c r="AH75" s="1397"/>
      <c r="AI75" s="1397"/>
      <c r="AJ75" s="1397"/>
      <c r="AK75" s="1397"/>
      <c r="AL75" s="1397"/>
      <c r="AM75" s="1397"/>
      <c r="AN75" s="1397"/>
    </row>
    <row r="76" spans="1:40" ht="24">
      <c r="A76" s="1062" t="s">
        <v>1028</v>
      </c>
      <c r="B76" s="2427" t="str">
        <f>估价对象房地状况!C20</f>
        <v>有公园，无人文，一般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3"/>
      <c r="Q76" s="2193"/>
      <c r="R76" s="2194"/>
      <c r="S76" s="2194"/>
      <c r="T76" s="2194"/>
      <c r="U76" s="2194"/>
      <c r="V76" s="2194"/>
      <c r="W76" s="2193"/>
      <c r="X76" s="2193"/>
      <c r="Y76" s="2193"/>
      <c r="Z76" s="2193"/>
      <c r="AA76" s="2193"/>
      <c r="AB76" s="2193"/>
      <c r="AC76" s="2193"/>
      <c r="AD76" s="2194"/>
      <c r="AJ76" s="1397"/>
      <c r="AN76" s="1398"/>
    </row>
    <row r="77" spans="1:40" ht="24.75" thickBot="1">
      <c r="A77" s="2457" t="s">
        <v>1035</v>
      </c>
      <c r="B77" s="1844"/>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9"/>
      <c r="AD77" s="1398"/>
      <c r="AJ77" s="1397"/>
      <c r="AN77" s="1398"/>
    </row>
    <row r="78" spans="1:40" ht="15">
      <c r="A78" s="2440" t="s">
        <v>1036</v>
      </c>
      <c r="B78" s="2441">
        <f>1+E80</f>
        <v>1</v>
      </c>
      <c r="C78" s="2460"/>
      <c r="D78" s="2443"/>
      <c r="E78" s="2444"/>
      <c r="F78" s="2445"/>
      <c r="G78" s="2439"/>
      <c r="H78" s="2439"/>
      <c r="I78" s="2439"/>
      <c r="J78" s="1061"/>
      <c r="K78" s="1061"/>
      <c r="L78" s="1061"/>
      <c r="M78" s="1061"/>
      <c r="N78" s="1061"/>
      <c r="AC78" s="1399"/>
      <c r="AD78" s="1398"/>
      <c r="AJ78" s="1397"/>
      <c r="AN78" s="1398"/>
    </row>
    <row r="79" spans="1:40" ht="24">
      <c r="A79" s="1062" t="s">
        <v>1008</v>
      </c>
      <c r="B79" s="2424"/>
      <c r="C79" s="2446" t="s">
        <v>1010</v>
      </c>
      <c r="D79" s="2447" t="s">
        <v>1011</v>
      </c>
      <c r="E79" s="2448" t="s">
        <v>1013</v>
      </c>
      <c r="F79" s="2449" t="s">
        <v>2253</v>
      </c>
      <c r="G79" s="2447" t="s">
        <v>1014</v>
      </c>
      <c r="H79" s="2430" t="s">
        <v>2419</v>
      </c>
      <c r="I79" s="2447" t="s">
        <v>1012</v>
      </c>
      <c r="J79" s="2450" t="s">
        <v>1015</v>
      </c>
      <c r="K79" s="2450" t="s">
        <v>1016</v>
      </c>
      <c r="L79" s="2450" t="s">
        <v>1017</v>
      </c>
      <c r="M79" s="2450" t="s">
        <v>1018</v>
      </c>
      <c r="N79" s="2450" t="s">
        <v>1019</v>
      </c>
      <c r="AC79" s="1399"/>
      <c r="AD79" s="1398"/>
      <c r="AJ79" s="1397"/>
      <c r="AN79" s="1398"/>
    </row>
    <row r="80" spans="1:40" ht="36">
      <c r="A80" s="1062" t="s">
        <v>1037</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9"/>
      <c r="AD80" s="1398"/>
      <c r="AJ80" s="1397"/>
      <c r="AN80" s="1398"/>
    </row>
    <row r="81" spans="1:40" ht="48">
      <c r="A81" s="1062" t="s">
        <v>1033</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9"/>
      <c r="AD81" s="1398"/>
      <c r="AJ81" s="1397"/>
      <c r="AN81" s="1398"/>
    </row>
    <row r="82" spans="1:40" ht="24">
      <c r="A82" s="1062" t="s">
        <v>1022</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9"/>
      <c r="AD82" s="1398"/>
      <c r="AJ82" s="1397"/>
      <c r="AN82" s="1398"/>
    </row>
    <row r="83" spans="1:40" ht="14.25">
      <c r="A83" s="1062" t="s">
        <v>1034</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9"/>
      <c r="AD83" s="1398"/>
      <c r="AJ83" s="1397"/>
      <c r="AN83" s="1398"/>
    </row>
    <row r="84" spans="1:40" ht="24">
      <c r="A84" s="1062" t="s">
        <v>1026</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9"/>
      <c r="AD84" s="1398"/>
      <c r="AJ84" s="1397"/>
      <c r="AN84" s="1398"/>
    </row>
    <row r="85" spans="1:40" ht="24">
      <c r="A85" s="1062" t="s">
        <v>1027</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9"/>
      <c r="AD85" s="1398"/>
      <c r="AJ85" s="1397"/>
      <c r="AN85" s="1398"/>
    </row>
    <row r="86" spans="1:40" ht="24">
      <c r="A86" s="1062" t="s">
        <v>1025</v>
      </c>
      <c r="B86" s="3108" t="s">
        <v>2933</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9"/>
      <c r="AD86" s="1398"/>
      <c r="AJ86" s="1397"/>
      <c r="AN86" s="1398"/>
    </row>
    <row r="87" spans="1:40" ht="36.75" thickBot="1">
      <c r="A87" s="2457" t="s">
        <v>1038</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9"/>
      <c r="AD87" s="1398"/>
      <c r="AJ87" s="1397"/>
      <c r="AN87" s="1398"/>
    </row>
    <row r="90" spans="1:40">
      <c r="A90" s="3529" t="s">
        <v>1633</v>
      </c>
      <c r="B90" s="3529"/>
      <c r="C90" s="3529"/>
      <c r="D90" s="3529"/>
      <c r="E90" s="3529"/>
      <c r="F90" s="3529"/>
      <c r="G90" s="3529"/>
      <c r="H90" s="3529"/>
      <c r="I90" s="3529"/>
      <c r="J90" s="3529"/>
      <c r="K90" s="2466"/>
      <c r="L90" s="2466"/>
      <c r="M90" s="2466"/>
      <c r="N90" s="2466"/>
    </row>
    <row r="91" spans="1:40">
      <c r="A91" s="3530" t="s">
        <v>1443</v>
      </c>
      <c r="B91" s="3530" t="s">
        <v>1634</v>
      </c>
      <c r="C91" s="1135" t="s">
        <v>1635</v>
      </c>
      <c r="D91" s="1136"/>
      <c r="E91" s="1136"/>
      <c r="F91" s="1136"/>
      <c r="G91" s="1136"/>
      <c r="H91" s="1136"/>
      <c r="I91" s="1136"/>
      <c r="J91" s="1137"/>
      <c r="K91" s="1129"/>
      <c r="L91" s="1129"/>
      <c r="M91" s="1129"/>
      <c r="N91" s="1129"/>
    </row>
    <row r="92" spans="1:40">
      <c r="A92" s="3530"/>
      <c r="B92" s="3530"/>
      <c r="C92" s="2465" t="s">
        <v>906</v>
      </c>
      <c r="D92" s="2465" t="s">
        <v>884</v>
      </c>
      <c r="E92" s="2465" t="s">
        <v>885</v>
      </c>
      <c r="F92" s="2465" t="s">
        <v>909</v>
      </c>
      <c r="G92" s="2465" t="s">
        <v>887</v>
      </c>
      <c r="H92" s="2465" t="s">
        <v>888</v>
      </c>
      <c r="I92" s="2465" t="s">
        <v>889</v>
      </c>
      <c r="J92" s="2465" t="s">
        <v>890</v>
      </c>
      <c r="K92" s="2465" t="s">
        <v>914</v>
      </c>
      <c r="L92" s="2465" t="s">
        <v>892</v>
      </c>
      <c r="M92" s="2465" t="s">
        <v>893</v>
      </c>
      <c r="N92" s="2465" t="s">
        <v>917</v>
      </c>
    </row>
    <row r="93" spans="1:40">
      <c r="A93" s="3537" t="s">
        <v>2765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538"/>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538"/>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538"/>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538"/>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538"/>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538"/>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539"/>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537" t="s">
        <v>1637</v>
      </c>
      <c r="B101" s="1142" t="s">
        <v>905</v>
      </c>
      <c r="C101" s="1143">
        <f>$G$3</f>
        <v>1.79</v>
      </c>
      <c r="D101" s="1143">
        <f t="shared" ref="D101:N101" si="31">$G$3</f>
        <v>1.79</v>
      </c>
      <c r="E101" s="1143">
        <f t="shared" si="31"/>
        <v>1.79</v>
      </c>
      <c r="F101" s="1143">
        <f t="shared" si="31"/>
        <v>1.79</v>
      </c>
      <c r="G101" s="1143">
        <f t="shared" si="31"/>
        <v>1.79</v>
      </c>
      <c r="H101" s="1143">
        <f t="shared" si="31"/>
        <v>1.79</v>
      </c>
      <c r="I101" s="1143">
        <f t="shared" si="31"/>
        <v>1.79</v>
      </c>
      <c r="J101" s="1143">
        <f t="shared" si="31"/>
        <v>1.79</v>
      </c>
      <c r="K101" s="1143">
        <f t="shared" si="31"/>
        <v>1.79</v>
      </c>
      <c r="L101" s="1143">
        <f t="shared" si="31"/>
        <v>1.79</v>
      </c>
      <c r="M101" s="1143">
        <f t="shared" si="31"/>
        <v>1.79</v>
      </c>
      <c r="N101" s="1143">
        <f t="shared" si="31"/>
        <v>1.79</v>
      </c>
    </row>
    <row r="102" spans="1:14">
      <c r="A102" s="3538"/>
      <c r="B102" s="1138">
        <v>1</v>
      </c>
      <c r="C102" s="1139">
        <f>1.9362/C101</f>
        <v>1.0816759776536313</v>
      </c>
      <c r="D102" s="1139">
        <f>1.9362/D101</f>
        <v>1.0816759776536313</v>
      </c>
      <c r="E102" s="1139">
        <f>1.8629/E101</f>
        <v>1.0407262569832403</v>
      </c>
      <c r="F102" s="1139">
        <f>1.8629/F101</f>
        <v>1.0407262569832403</v>
      </c>
      <c r="G102" s="1139">
        <f>1.8629/G101</f>
        <v>1.0407262569832403</v>
      </c>
      <c r="H102" s="1139">
        <f>1.8629/H101</f>
        <v>1.0407262569832403</v>
      </c>
      <c r="I102" s="1139">
        <f>1.8629/I101</f>
        <v>1.0407262569832403</v>
      </c>
      <c r="J102" s="1139">
        <f>1.942/J101</f>
        <v>1.0849162011173183</v>
      </c>
      <c r="K102" s="1139">
        <f>1.942/K101</f>
        <v>1.0849162011173183</v>
      </c>
      <c r="L102" s="1139">
        <f>1.942/L101</f>
        <v>1.0849162011173183</v>
      </c>
      <c r="M102" s="1139">
        <f>1.942/M101</f>
        <v>1.0849162011173183</v>
      </c>
      <c r="N102" s="1139">
        <f>1.942/N101</f>
        <v>1.0849162011173183</v>
      </c>
    </row>
    <row r="103" spans="1:14">
      <c r="A103" s="3538"/>
      <c r="B103" s="1138">
        <v>2</v>
      </c>
      <c r="C103" s="1139">
        <f>1.4198/C101</f>
        <v>0.79318435754189942</v>
      </c>
      <c r="D103" s="1139">
        <f>1.4198/D101</f>
        <v>0.79318435754189942</v>
      </c>
      <c r="E103" s="1139">
        <f>1.3372/E101</f>
        <v>0.74703910614525137</v>
      </c>
      <c r="F103" s="1139">
        <f>1.3372/F101</f>
        <v>0.74703910614525137</v>
      </c>
      <c r="G103" s="1139">
        <f>1.3372/G101</f>
        <v>0.74703910614525137</v>
      </c>
      <c r="H103" s="1139">
        <f>1.3372/H101</f>
        <v>0.74703910614525137</v>
      </c>
      <c r="I103" s="1139">
        <f>1.3372/I101</f>
        <v>0.74703910614525137</v>
      </c>
      <c r="J103" s="1139">
        <f>1.2799/J101</f>
        <v>0.71502793296089384</v>
      </c>
      <c r="K103" s="1139">
        <f>1.2799/K101</f>
        <v>0.71502793296089384</v>
      </c>
      <c r="L103" s="1139">
        <f>1.2799/L101</f>
        <v>0.71502793296089384</v>
      </c>
      <c r="M103" s="1139">
        <f>1.2799/M101</f>
        <v>0.71502793296089384</v>
      </c>
      <c r="N103" s="1139">
        <f>1.2799/N101</f>
        <v>0.71502793296089384</v>
      </c>
    </row>
    <row r="104" spans="1:14">
      <c r="A104" s="3538"/>
      <c r="B104" s="1138">
        <v>3</v>
      </c>
      <c r="C104" s="1139">
        <f>1.1594/C101</f>
        <v>0.6477094972067039</v>
      </c>
      <c r="D104" s="1139">
        <f>1.1594/D101</f>
        <v>0.6477094972067039</v>
      </c>
      <c r="E104" s="1139">
        <f>1.0788/E101</f>
        <v>0.60268156424580999</v>
      </c>
      <c r="F104" s="1139">
        <f>1.0788/F101</f>
        <v>0.60268156424580999</v>
      </c>
      <c r="G104" s="1139">
        <f>1.0788/G101</f>
        <v>0.60268156424580999</v>
      </c>
      <c r="H104" s="1139">
        <f>1.0788/H101</f>
        <v>0.60268156424580999</v>
      </c>
      <c r="I104" s="1139">
        <f>1.0788/I101</f>
        <v>0.60268156424580999</v>
      </c>
      <c r="J104" s="1139">
        <f>1.0072/J101</f>
        <v>0.56268156424581006</v>
      </c>
      <c r="K104" s="1139">
        <f>1.0072/K101</f>
        <v>0.56268156424581006</v>
      </c>
      <c r="L104" s="1139">
        <f>1.0072/L101</f>
        <v>0.56268156424581006</v>
      </c>
      <c r="M104" s="1139">
        <f>1.0072/M101</f>
        <v>0.56268156424581006</v>
      </c>
      <c r="N104" s="1139">
        <f>1.0072/N101</f>
        <v>0.56268156424581006</v>
      </c>
    </row>
    <row r="105" spans="1:14">
      <c r="A105" s="3538"/>
      <c r="B105" s="1138">
        <v>4</v>
      </c>
      <c r="C105" s="1139">
        <f>0.9622/C101</f>
        <v>0.53754189944134079</v>
      </c>
      <c r="D105" s="1139">
        <f>0.9622/D101</f>
        <v>0.53754189944134079</v>
      </c>
      <c r="E105" s="1139">
        <f>0.8656/E101</f>
        <v>0.48357541899441342</v>
      </c>
      <c r="F105" s="1139">
        <f>0.8656/F101</f>
        <v>0.48357541899441342</v>
      </c>
      <c r="G105" s="1139">
        <f>0.8656/G101</f>
        <v>0.48357541899441342</v>
      </c>
      <c r="H105" s="1139">
        <f>0.8656/H101</f>
        <v>0.48357541899441342</v>
      </c>
      <c r="I105" s="1139">
        <f>0.8656/I101</f>
        <v>0.48357541899441342</v>
      </c>
      <c r="J105" s="1139">
        <f>0.7525/J101</f>
        <v>0.42039106145251393</v>
      </c>
      <c r="K105" s="1139">
        <f>0.7525/K101</f>
        <v>0.42039106145251393</v>
      </c>
      <c r="L105" s="1139">
        <f>0.7525/L101</f>
        <v>0.42039106145251393</v>
      </c>
      <c r="M105" s="1139">
        <f>0.7525/M101</f>
        <v>0.42039106145251393</v>
      </c>
      <c r="N105" s="1139">
        <f>0.7525/N101</f>
        <v>0.42039106145251393</v>
      </c>
    </row>
    <row r="106" spans="1:14">
      <c r="A106" s="3538"/>
      <c r="B106" s="1138">
        <v>5</v>
      </c>
      <c r="C106" s="1139">
        <f>0.8417/C101</f>
        <v>0.47022346368715084</v>
      </c>
      <c r="D106" s="1139">
        <f>0.8417/D101</f>
        <v>0.47022346368715084</v>
      </c>
      <c r="E106" s="1139">
        <f>0.7371/E101</f>
        <v>0.41178770949720667</v>
      </c>
      <c r="F106" s="1139">
        <f>0.7371/F101</f>
        <v>0.41178770949720667</v>
      </c>
      <c r="G106" s="1139">
        <f>0.7371/G101</f>
        <v>0.41178770949720667</v>
      </c>
      <c r="H106" s="1139">
        <f>0.7371/H101</f>
        <v>0.41178770949720667</v>
      </c>
      <c r="I106" s="1139">
        <f>0.7371/I101</f>
        <v>0.41178770949720667</v>
      </c>
      <c r="J106" s="1139">
        <f>0.5659/J101</f>
        <v>0.31614525139664801</v>
      </c>
      <c r="K106" s="1139">
        <f>0.5659/K101</f>
        <v>0.31614525139664801</v>
      </c>
      <c r="L106" s="1139">
        <f>0.5659/L101</f>
        <v>0.31614525139664801</v>
      </c>
      <c r="M106" s="1139">
        <f>0.5659/M101</f>
        <v>0.31614525139664801</v>
      </c>
      <c r="N106" s="1139">
        <f>0.5659/N101</f>
        <v>0.31614525139664801</v>
      </c>
    </row>
    <row r="107" spans="1:14">
      <c r="A107" s="3538"/>
      <c r="B107" s="1138">
        <v>6</v>
      </c>
      <c r="C107" s="1139">
        <f>0.7608/C101</f>
        <v>0.42502793296089386</v>
      </c>
      <c r="D107" s="1139">
        <f>0.7608/D101</f>
        <v>0.42502793296089386</v>
      </c>
      <c r="E107" s="1139">
        <f>0.6482/E101</f>
        <v>0.36212290502793293</v>
      </c>
      <c r="F107" s="1139">
        <f>0.6482/F101</f>
        <v>0.36212290502793293</v>
      </c>
      <c r="G107" s="1139">
        <f>0.6482/G101</f>
        <v>0.36212290502793293</v>
      </c>
      <c r="H107" s="1139">
        <f>0.6482/H101</f>
        <v>0.36212290502793293</v>
      </c>
      <c r="I107" s="1139">
        <f>0.6482/I101</f>
        <v>0.36212290502793293</v>
      </c>
      <c r="J107" s="1139">
        <f>0.4525/J101</f>
        <v>0.2527932960893855</v>
      </c>
      <c r="K107" s="1139">
        <f>0.4525/K101</f>
        <v>0.2527932960893855</v>
      </c>
      <c r="L107" s="1139">
        <f>0.4525/L101</f>
        <v>0.2527932960893855</v>
      </c>
      <c r="M107" s="1139">
        <f>0.4525/M101</f>
        <v>0.2527932960893855</v>
      </c>
      <c r="N107" s="1139">
        <f>0.4525/N101</f>
        <v>0.2527932960893855</v>
      </c>
    </row>
    <row r="108" spans="1:14">
      <c r="A108" s="3538"/>
      <c r="B108" s="3540"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539"/>
      <c r="B109" s="3541"/>
      <c r="C109" s="1141">
        <f>(-0.163*(C108^2)-0.59*C108+7617)*(10^(-4))/C101</f>
        <v>0.42468424581005587</v>
      </c>
      <c r="D109" s="1141">
        <f>(-0.163*(D108^2)-0.59*D108+7617)*(10^(-4))/D101</f>
        <v>0.42468424581005587</v>
      </c>
      <c r="E109" s="1141">
        <f>(-0.161*(E108^2)-7.509*E108+6533)*(10^(-4))/E101</f>
        <v>0.3610404469273743</v>
      </c>
      <c r="F109" s="1141">
        <f>(-0.161*(F108^2)-7.509*F108+6533)*(10^(-4))/F101</f>
        <v>0.3610404469273743</v>
      </c>
      <c r="G109" s="1141">
        <f>(-0.161*(G108^2)-7.509*G108+6533)*(10^(-4))/G101</f>
        <v>0.3610404469273743</v>
      </c>
      <c r="H109" s="1141">
        <f>(-0.161*(H108^2)-7.509*H108+6533)*(10^(-4))/H101</f>
        <v>0.3610404469273743</v>
      </c>
      <c r="I109" s="1141">
        <f>(-0.161*(I108^2)-7.509*I108+6533)*(10^(-4))/I101</f>
        <v>0.3610404469273743</v>
      </c>
      <c r="J109" s="1141">
        <f>(-0.214*(J108^2)-21.991*J108+4665)*(10^(-4))/J101</f>
        <v>0.25002100558659218</v>
      </c>
      <c r="K109" s="1141">
        <f>(-0.214*(K108^2)-21.991*K108+4665)*(10^(-4))/K101</f>
        <v>0.25002100558659218</v>
      </c>
      <c r="L109" s="1141">
        <f>(-0.214*(L108^2)-21.991*L108+4665)*(10^(-4))/L101</f>
        <v>0.25002100558659218</v>
      </c>
      <c r="M109" s="1141">
        <f>(-0.214*(M108^2)-21.991*M108+4665)*(10^(-4))/M101</f>
        <v>0.25002100558659218</v>
      </c>
      <c r="N109" s="1141">
        <f>(-0.214*(N108^2)-21.991*N108+4665)*(10^(-4))/N101</f>
        <v>0.25002100558659218</v>
      </c>
    </row>
    <row r="110" spans="1:14">
      <c r="A110" s="3524" t="s">
        <v>1639</v>
      </c>
      <c r="B110" s="3524"/>
      <c r="C110" s="3524"/>
      <c r="D110" s="3524"/>
      <c r="E110" s="3524"/>
      <c r="F110" s="3524"/>
      <c r="G110" s="3524"/>
      <c r="H110" s="3524"/>
      <c r="I110" s="3524"/>
      <c r="J110" s="3524"/>
      <c r="K110" s="2464"/>
      <c r="L110" s="2464"/>
      <c r="M110" s="2464"/>
      <c r="N110" s="2464"/>
    </row>
    <row r="112" spans="1:14" ht="12.75" thickBot="1"/>
    <row r="113" spans="1:13" ht="25.5" thickBot="1">
      <c r="A113" s="1011" t="s">
        <v>895</v>
      </c>
      <c r="B113" s="2467">
        <f>G3</f>
        <v>1.79</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0.91669999999999996</v>
      </c>
      <c r="C115" s="1025">
        <f>B115</f>
        <v>0.91669999999999996</v>
      </c>
      <c r="D115" s="1025">
        <f>ROUND(0.8331-0.0109*B113,4)</f>
        <v>0.81359999999999999</v>
      </c>
      <c r="E115" s="1025">
        <f>D115</f>
        <v>0.81359999999999999</v>
      </c>
      <c r="F115" s="1025">
        <f>E115</f>
        <v>0.81359999999999999</v>
      </c>
      <c r="G115" s="1025">
        <f>F115</f>
        <v>0.81359999999999999</v>
      </c>
      <c r="H115" s="1025">
        <f>G115</f>
        <v>0.81359999999999999</v>
      </c>
      <c r="I115" s="1025">
        <f>ROUND(0.689-0.0155*B113,4)</f>
        <v>0.6613</v>
      </c>
      <c r="J115" s="1025">
        <f t="shared" ref="J115:M118" si="33">I115</f>
        <v>0.6613</v>
      </c>
      <c r="K115" s="1025">
        <f t="shared" si="33"/>
        <v>0.6613</v>
      </c>
      <c r="L115" s="1025">
        <f t="shared" si="33"/>
        <v>0.6613</v>
      </c>
      <c r="M115" s="1026">
        <f t="shared" si="33"/>
        <v>0.6613</v>
      </c>
    </row>
    <row r="116" spans="1:13" ht="12.75">
      <c r="A116" s="1024" t="s">
        <v>900</v>
      </c>
      <c r="B116" s="1025">
        <f>ROUND(0.949-0.012*B113,4)</f>
        <v>0.92749999999999999</v>
      </c>
      <c r="C116" s="1025">
        <f>B116</f>
        <v>0.92749999999999999</v>
      </c>
      <c r="D116" s="1025">
        <f>ROUND(0.8567-0.013*B113,4)</f>
        <v>0.83340000000000003</v>
      </c>
      <c r="E116" s="1025">
        <f t="shared" ref="E116:H117" si="34">D116</f>
        <v>0.83340000000000003</v>
      </c>
      <c r="F116" s="1025">
        <f t="shared" si="34"/>
        <v>0.83340000000000003</v>
      </c>
      <c r="G116" s="1025">
        <f t="shared" si="34"/>
        <v>0.83340000000000003</v>
      </c>
      <c r="H116" s="1025">
        <f t="shared" si="34"/>
        <v>0.83340000000000003</v>
      </c>
      <c r="I116" s="1025">
        <f>ROUND(0.7694-0.014*B113,4)</f>
        <v>0.74429999999999996</v>
      </c>
      <c r="J116" s="1025">
        <f t="shared" si="33"/>
        <v>0.74429999999999996</v>
      </c>
      <c r="K116" s="1025">
        <f t="shared" si="33"/>
        <v>0.74429999999999996</v>
      </c>
      <c r="L116" s="1025">
        <f t="shared" si="33"/>
        <v>0.74429999999999996</v>
      </c>
      <c r="M116" s="1026">
        <f t="shared" si="33"/>
        <v>0.74429999999999996</v>
      </c>
    </row>
    <row r="117" spans="1:13" ht="12.75">
      <c r="A117" s="1027" t="s">
        <v>901</v>
      </c>
      <c r="B117" s="1025">
        <f>ROUND(0.8808-0.006*B113,4)</f>
        <v>0.87009999999999998</v>
      </c>
      <c r="C117" s="1025">
        <f>B117</f>
        <v>0.87009999999999998</v>
      </c>
      <c r="D117" s="1025">
        <f>ROUND(0.8748-0.008*B113,4)</f>
        <v>0.86050000000000004</v>
      </c>
      <c r="E117" s="1025">
        <f t="shared" si="34"/>
        <v>0.86050000000000004</v>
      </c>
      <c r="F117" s="1025">
        <f t="shared" si="34"/>
        <v>0.86050000000000004</v>
      </c>
      <c r="G117" s="1025">
        <f t="shared" si="34"/>
        <v>0.86050000000000004</v>
      </c>
      <c r="H117" s="1025">
        <f t="shared" si="34"/>
        <v>0.86050000000000004</v>
      </c>
      <c r="I117" s="1025">
        <f>ROUND(0.7412-0.0095*B113,4)</f>
        <v>0.72419999999999995</v>
      </c>
      <c r="J117" s="1025">
        <f t="shared" si="33"/>
        <v>0.72419999999999995</v>
      </c>
      <c r="K117" s="1025">
        <f t="shared" si="33"/>
        <v>0.72419999999999995</v>
      </c>
      <c r="L117" s="1025">
        <f t="shared" si="33"/>
        <v>0.72419999999999995</v>
      </c>
      <c r="M117" s="1026">
        <f t="shared" si="33"/>
        <v>0.72419999999999995</v>
      </c>
    </row>
    <row r="118" spans="1:13" ht="13.5" thickBot="1">
      <c r="A118" s="1028" t="s">
        <v>902</v>
      </c>
      <c r="B118" s="1029">
        <f>ROUND(0.7275-0.01*B113,4)</f>
        <v>0.70960000000000001</v>
      </c>
      <c r="C118" s="1029">
        <f>B118</f>
        <v>0.70960000000000001</v>
      </c>
      <c r="D118" s="1029">
        <f>ROUND(0.7043-0.012*B113,4)</f>
        <v>0.68279999999999996</v>
      </c>
      <c r="E118" s="1029">
        <f>D118</f>
        <v>0.68279999999999996</v>
      </c>
      <c r="F118" s="1029">
        <f>E118</f>
        <v>0.68279999999999996</v>
      </c>
      <c r="G118" s="1029">
        <f>ROUND(0.6299-0.0122*B113,4)</f>
        <v>0.60809999999999997</v>
      </c>
      <c r="H118" s="1029">
        <f>G118</f>
        <v>0.60809999999999997</v>
      </c>
      <c r="I118" s="1029">
        <f>ROUND(0.5667-0.0136*B113,4)</f>
        <v>0.54239999999999999</v>
      </c>
      <c r="J118" s="1029">
        <f t="shared" si="33"/>
        <v>0.54239999999999999</v>
      </c>
      <c r="K118" s="1029">
        <f t="shared" si="33"/>
        <v>0.54239999999999999</v>
      </c>
      <c r="L118" s="1029">
        <f t="shared" si="33"/>
        <v>0.54239999999999999</v>
      </c>
      <c r="M118" s="1030">
        <f t="shared" si="33"/>
        <v>0.54239999999999999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93" customFormat="1" ht="19.5" customHeight="1">
      <c r="A18" s="3530" t="s">
        <v>1007</v>
      </c>
      <c r="B18" s="1149" t="s">
        <v>1446</v>
      </c>
      <c r="C18" s="1126" t="s">
        <v>1447</v>
      </c>
      <c r="D18" s="1127"/>
      <c r="E18" s="1149">
        <v>1</v>
      </c>
      <c r="F18" s="1128" t="s">
        <v>1448</v>
      </c>
      <c r="G18" s="1129"/>
      <c r="H18" s="1100"/>
      <c r="I18" s="1100"/>
    </row>
    <row r="19" spans="1:9" s="1593" customFormat="1" ht="19.5" customHeight="1">
      <c r="A19" s="3530"/>
      <c r="B19" s="3530" t="s">
        <v>1449</v>
      </c>
      <c r="C19" s="1126" t="s">
        <v>1450</v>
      </c>
      <c r="D19" s="1127"/>
      <c r="E19" s="1149">
        <v>0.9</v>
      </c>
      <c r="F19" s="1128" t="s">
        <v>1451</v>
      </c>
      <c r="G19" s="1129"/>
      <c r="H19" s="1100"/>
      <c r="I19" s="1100"/>
    </row>
    <row r="20" spans="1:9" s="1593" customFormat="1" ht="19.5" customHeight="1">
      <c r="A20" s="3530"/>
      <c r="B20" s="3530"/>
      <c r="C20" s="1126" t="s">
        <v>1452</v>
      </c>
      <c r="D20" s="1127"/>
      <c r="E20" s="1149">
        <v>1.1000000000000001</v>
      </c>
      <c r="F20" s="1128" t="s">
        <v>1453</v>
      </c>
      <c r="G20" s="1129"/>
      <c r="H20" s="1100"/>
      <c r="I20" s="1100"/>
    </row>
    <row r="21" spans="1:9" s="1593" customFormat="1" ht="19.5" customHeight="1">
      <c r="A21" s="3530"/>
      <c r="B21" s="3530"/>
      <c r="C21" s="1126" t="s">
        <v>1454</v>
      </c>
      <c r="D21" s="1127"/>
      <c r="E21" s="1149">
        <v>0.8</v>
      </c>
      <c r="F21" s="1128" t="s">
        <v>1455</v>
      </c>
      <c r="G21" s="1129"/>
      <c r="H21" s="1100"/>
      <c r="I21" s="1100"/>
    </row>
    <row r="22" spans="1:9" s="1593" customFormat="1" ht="19.5" customHeight="1">
      <c r="A22" s="3530"/>
      <c r="B22" s="3530"/>
      <c r="C22" s="1126" t="s">
        <v>1456</v>
      </c>
      <c r="D22" s="1127"/>
      <c r="E22" s="1149">
        <v>0.5</v>
      </c>
      <c r="F22" s="1128"/>
      <c r="G22" s="1129"/>
      <c r="H22" s="1100"/>
      <c r="I22" s="1100"/>
    </row>
    <row r="23" spans="1:9" s="1593" customFormat="1" ht="19.5" customHeight="1">
      <c r="A23" s="3530" t="s">
        <v>1029</v>
      </c>
      <c r="B23" s="1149" t="s">
        <v>1446</v>
      </c>
      <c r="C23" s="1126" t="s">
        <v>1457</v>
      </c>
      <c r="D23" s="1127"/>
      <c r="E23" s="1149">
        <v>1</v>
      </c>
      <c r="F23" s="1128" t="s">
        <v>1458</v>
      </c>
      <c r="G23" s="1129"/>
      <c r="H23" s="1100"/>
      <c r="I23" s="1100"/>
    </row>
    <row r="24" spans="1:9" s="1593" customFormat="1" ht="19.5" customHeight="1">
      <c r="A24" s="3530"/>
      <c r="B24" s="3530" t="s">
        <v>1449</v>
      </c>
      <c r="C24" s="1126" t="s">
        <v>1459</v>
      </c>
      <c r="D24" s="1127"/>
      <c r="E24" s="1149">
        <v>0.5</v>
      </c>
      <c r="F24" s="1128"/>
      <c r="G24" s="1129"/>
      <c r="H24" s="1100"/>
      <c r="I24" s="1100"/>
    </row>
    <row r="25" spans="1:9" s="1593" customFormat="1" ht="19.5" customHeight="1">
      <c r="A25" s="3530"/>
      <c r="B25" s="3530"/>
      <c r="C25" s="1126" t="s">
        <v>1460</v>
      </c>
      <c r="D25" s="1127"/>
      <c r="E25" s="1149">
        <v>1.1000000000000001</v>
      </c>
      <c r="F25" s="1128"/>
      <c r="G25" s="1129"/>
      <c r="H25" s="1100"/>
      <c r="I25" s="1100"/>
    </row>
    <row r="26" spans="1:9" s="1593" customFormat="1" ht="19.5" customHeight="1">
      <c r="A26" s="3530"/>
      <c r="B26" s="3530"/>
      <c r="C26" s="1126" t="s">
        <v>1461</v>
      </c>
      <c r="D26" s="1127"/>
      <c r="E26" s="1149">
        <v>1.1000000000000001</v>
      </c>
      <c r="F26" s="1128"/>
      <c r="G26" s="1129"/>
      <c r="H26" s="1100"/>
      <c r="I26" s="1100"/>
    </row>
    <row r="27" spans="1:9" s="1593" customFormat="1" ht="19.5" customHeight="1">
      <c r="A27" s="3530"/>
      <c r="B27" s="3530"/>
      <c r="C27" s="1126" t="s">
        <v>1462</v>
      </c>
      <c r="D27" s="1127"/>
      <c r="E27" s="1149">
        <v>0.9</v>
      </c>
      <c r="F27" s="1128" t="s">
        <v>1463</v>
      </c>
      <c r="G27" s="1129"/>
      <c r="H27" s="1100"/>
      <c r="I27" s="1100"/>
    </row>
    <row r="28" spans="1:9" s="1593" customFormat="1" ht="19.5" customHeight="1">
      <c r="A28" s="3530"/>
      <c r="B28" s="3530"/>
      <c r="C28" s="1126" t="s">
        <v>1464</v>
      </c>
      <c r="D28" s="1127"/>
      <c r="E28" s="1149">
        <v>0.9</v>
      </c>
      <c r="F28" s="1128" t="s">
        <v>1465</v>
      </c>
      <c r="G28" s="1129"/>
      <c r="H28" s="1100"/>
      <c r="I28" s="1100"/>
    </row>
    <row r="29" spans="1:9" s="1593" customFormat="1" ht="19.5" customHeight="1">
      <c r="A29" s="3530"/>
      <c r="B29" s="3530"/>
      <c r="C29" s="1126" t="s">
        <v>1466</v>
      </c>
      <c r="D29" s="1127"/>
      <c r="E29" s="1149">
        <v>0.9</v>
      </c>
      <c r="F29" s="1128" t="s">
        <v>1467</v>
      </c>
      <c r="G29" s="1129"/>
      <c r="H29" s="1100"/>
      <c r="I29" s="1100"/>
    </row>
    <row r="30" spans="1:9" s="1593" customFormat="1" ht="19.5" customHeight="1">
      <c r="A30" s="3530"/>
      <c r="B30" s="3530"/>
      <c r="C30" s="1126" t="s">
        <v>1468</v>
      </c>
      <c r="D30" s="1127"/>
      <c r="E30" s="1149">
        <v>0.9</v>
      </c>
      <c r="F30" s="1128" t="s">
        <v>1469</v>
      </c>
      <c r="G30" s="1129"/>
      <c r="H30" s="1100"/>
      <c r="I30" s="1100"/>
    </row>
    <row r="31" spans="1:9" s="1593" customFormat="1" ht="19.5" customHeight="1">
      <c r="A31" s="3530"/>
      <c r="B31" s="3530"/>
      <c r="C31" s="1126" t="s">
        <v>1470</v>
      </c>
      <c r="D31" s="1127"/>
      <c r="E31" s="1149">
        <v>0.8</v>
      </c>
      <c r="F31" s="1128" t="s">
        <v>1471</v>
      </c>
      <c r="G31" s="1129"/>
      <c r="H31" s="1100"/>
      <c r="I31" s="1100"/>
    </row>
    <row r="32" spans="1:9" s="1593" customFormat="1" ht="19.5" customHeight="1">
      <c r="A32" s="3530"/>
      <c r="B32" s="3530"/>
      <c r="C32" s="1126" t="s">
        <v>1472</v>
      </c>
      <c r="D32" s="1127"/>
      <c r="E32" s="1149">
        <v>0.8</v>
      </c>
      <c r="F32" s="1128" t="s">
        <v>1473</v>
      </c>
      <c r="G32" s="1129"/>
      <c r="H32" s="1100"/>
      <c r="I32" s="1100"/>
    </row>
    <row r="33" spans="1:9" s="1593" customFormat="1" ht="19.5" customHeight="1">
      <c r="A33" s="3530" t="s">
        <v>1474</v>
      </c>
      <c r="B33" s="1149" t="s">
        <v>1446</v>
      </c>
      <c r="C33" s="1126" t="s">
        <v>1475</v>
      </c>
      <c r="D33" s="1127"/>
      <c r="E33" s="1149">
        <v>1</v>
      </c>
      <c r="F33" s="1128" t="s">
        <v>1476</v>
      </c>
      <c r="G33" s="1129"/>
      <c r="H33" s="1100"/>
      <c r="I33" s="1100"/>
    </row>
    <row r="34" spans="1:9" s="1593" customFormat="1" ht="19.5" customHeight="1">
      <c r="A34" s="3530"/>
      <c r="B34" s="1149" t="s">
        <v>1449</v>
      </c>
      <c r="C34" s="1126" t="s">
        <v>1477</v>
      </c>
      <c r="D34" s="1127"/>
      <c r="E34" s="1149">
        <v>1.5</v>
      </c>
      <c r="F34" s="1128" t="s">
        <v>1478</v>
      </c>
      <c r="G34" s="1129"/>
      <c r="H34" s="1100"/>
      <c r="I34" s="1100"/>
    </row>
    <row r="35" spans="1:9" s="1593" customFormat="1" ht="19.5" customHeight="1">
      <c r="A35" s="3530" t="s">
        <v>1432</v>
      </c>
      <c r="B35" s="1149" t="s">
        <v>1446</v>
      </c>
      <c r="C35" s="1126" t="s">
        <v>1479</v>
      </c>
      <c r="D35" s="1127"/>
      <c r="E35" s="1149">
        <v>1</v>
      </c>
      <c r="F35" s="1128" t="s">
        <v>1480</v>
      </c>
      <c r="G35" s="1129"/>
      <c r="H35" s="1100"/>
      <c r="I35" s="1100"/>
    </row>
    <row r="36" spans="1:9" s="1593" customFormat="1" ht="19.5" customHeight="1">
      <c r="A36" s="3530"/>
      <c r="B36" s="3530" t="s">
        <v>1449</v>
      </c>
      <c r="C36" s="1126" t="s">
        <v>1481</v>
      </c>
      <c r="D36" s="1127"/>
      <c r="E36" s="1149">
        <v>1</v>
      </c>
      <c r="F36" s="1128" t="s">
        <v>1482</v>
      </c>
      <c r="G36" s="1129"/>
      <c r="H36" s="1100"/>
      <c r="I36" s="1100"/>
    </row>
    <row r="37" spans="1:9" s="1593" customFormat="1" ht="19.5" customHeight="1">
      <c r="A37" s="3530"/>
      <c r="B37" s="3530"/>
      <c r="C37" s="1126" t="s">
        <v>1483</v>
      </c>
      <c r="D37" s="1127"/>
      <c r="E37" s="1149">
        <v>1.5</v>
      </c>
      <c r="F37" s="1128" t="s">
        <v>1484</v>
      </c>
      <c r="G37" s="1129"/>
      <c r="H37" s="1100"/>
      <c r="I37" s="1100"/>
    </row>
    <row r="38" spans="1:9" s="1593" customFormat="1" ht="19.5" customHeight="1">
      <c r="A38" s="3530"/>
      <c r="B38" s="3530"/>
      <c r="C38" s="1126" t="s">
        <v>1485</v>
      </c>
      <c r="D38" s="1127"/>
      <c r="E38" s="1149">
        <v>1</v>
      </c>
      <c r="F38" s="1128" t="s">
        <v>1486</v>
      </c>
      <c r="G38" s="1129"/>
      <c r="H38" s="1100"/>
      <c r="I38" s="1100"/>
    </row>
    <row r="39" spans="1:9" s="1593" customFormat="1" ht="19.5" customHeight="1">
      <c r="A39" s="3530"/>
      <c r="B39" s="3530"/>
      <c r="C39" s="1126" t="s">
        <v>1487</v>
      </c>
      <c r="D39" s="1127"/>
      <c r="E39" s="1149">
        <v>1</v>
      </c>
      <c r="F39" s="1128" t="s">
        <v>1488</v>
      </c>
      <c r="G39" s="1129"/>
      <c r="H39" s="1100"/>
      <c r="I39" s="1100"/>
    </row>
    <row r="40" spans="1:9" s="1593" customFormat="1" ht="19.5" customHeight="1">
      <c r="A40" s="1594" t="s">
        <v>1489</v>
      </c>
      <c r="B40" s="1594"/>
      <c r="C40" s="1594"/>
      <c r="D40" s="1594"/>
      <c r="E40" s="159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530" t="s">
        <v>1501</v>
      </c>
      <c r="C61" s="1063" t="s">
        <v>1502</v>
      </c>
      <c r="D61" s="1063" t="s">
        <v>1503</v>
      </c>
      <c r="E61" s="1134">
        <v>0.5</v>
      </c>
      <c r="F61" s="1149">
        <v>80</v>
      </c>
      <c r="H61" s="1100">
        <f>SUMIF(C59:C119,基准地价!C8,E59:E119)</f>
        <v>0</v>
      </c>
    </row>
    <row r="62" spans="1:8" s="1100" customFormat="1" ht="24">
      <c r="A62" s="1149">
        <v>2</v>
      </c>
      <c r="B62" s="3530"/>
      <c r="C62" s="1063" t="s">
        <v>1504</v>
      </c>
      <c r="D62" s="1063" t="s">
        <v>1505</v>
      </c>
      <c r="E62" s="1134">
        <v>0.5</v>
      </c>
      <c r="F62" s="1149">
        <v>80</v>
      </c>
    </row>
    <row r="63" spans="1:8" s="1100" customFormat="1" ht="36">
      <c r="A63" s="1149">
        <v>3</v>
      </c>
      <c r="B63" s="3530"/>
      <c r="C63" s="1063" t="s">
        <v>1506</v>
      </c>
      <c r="D63" s="1063" t="s">
        <v>1507</v>
      </c>
      <c r="E63" s="1134">
        <v>0.5</v>
      </c>
      <c r="F63" s="1149">
        <v>80</v>
      </c>
    </row>
    <row r="64" spans="1:8" s="1100" customFormat="1" ht="36">
      <c r="A64" s="1149">
        <v>4</v>
      </c>
      <c r="B64" s="3530"/>
      <c r="C64" s="1063" t="s">
        <v>1508</v>
      </c>
      <c r="D64" s="1063" t="s">
        <v>1509</v>
      </c>
      <c r="E64" s="1134">
        <v>0.4</v>
      </c>
      <c r="F64" s="1149">
        <v>60</v>
      </c>
    </row>
    <row r="65" spans="1:6" s="1100" customFormat="1" ht="36">
      <c r="A65" s="1149">
        <v>5</v>
      </c>
      <c r="B65" s="3530"/>
      <c r="C65" s="1063" t="s">
        <v>1510</v>
      </c>
      <c r="D65" s="1063" t="s">
        <v>1511</v>
      </c>
      <c r="E65" s="1134">
        <v>0.2</v>
      </c>
      <c r="F65" s="1149">
        <v>30</v>
      </c>
    </row>
    <row r="66" spans="1:6" s="1100" customFormat="1" ht="36">
      <c r="A66" s="1149">
        <v>6</v>
      </c>
      <c r="B66" s="3530"/>
      <c r="C66" s="1063" t="s">
        <v>1512</v>
      </c>
      <c r="D66" s="1063" t="s">
        <v>1513</v>
      </c>
      <c r="E66" s="1134">
        <v>0.3</v>
      </c>
      <c r="F66" s="1149">
        <v>50</v>
      </c>
    </row>
    <row r="67" spans="1:6" s="1100" customFormat="1" ht="36">
      <c r="A67" s="1149">
        <v>7</v>
      </c>
      <c r="B67" s="3530"/>
      <c r="C67" s="1063" t="s">
        <v>1514</v>
      </c>
      <c r="D67" s="1063" t="s">
        <v>1515</v>
      </c>
      <c r="E67" s="1134">
        <v>0.2</v>
      </c>
      <c r="F67" s="1149">
        <v>30</v>
      </c>
    </row>
    <row r="68" spans="1:6" s="1100" customFormat="1" ht="36">
      <c r="A68" s="1149">
        <v>8</v>
      </c>
      <c r="B68" s="3530"/>
      <c r="C68" s="1063" t="s">
        <v>1516</v>
      </c>
      <c r="D68" s="1063" t="s">
        <v>1517</v>
      </c>
      <c r="E68" s="1134">
        <v>0.2</v>
      </c>
      <c r="F68" s="1149">
        <v>30</v>
      </c>
    </row>
    <row r="69" spans="1:6" s="1100" customFormat="1" ht="36">
      <c r="A69" s="1149">
        <v>9</v>
      </c>
      <c r="B69" s="3530"/>
      <c r="C69" s="1063" t="s">
        <v>1518</v>
      </c>
      <c r="D69" s="1063" t="s">
        <v>1519</v>
      </c>
      <c r="E69" s="1134">
        <v>0.2</v>
      </c>
      <c r="F69" s="1149">
        <v>30</v>
      </c>
    </row>
    <row r="70" spans="1:6" s="1100" customFormat="1" ht="48">
      <c r="A70" s="1149">
        <v>10</v>
      </c>
      <c r="B70" s="3530"/>
      <c r="C70" s="1063" t="s">
        <v>1520</v>
      </c>
      <c r="D70" s="1063" t="s">
        <v>1521</v>
      </c>
      <c r="E70" s="1134">
        <v>0.2</v>
      </c>
      <c r="F70" s="1149">
        <v>30</v>
      </c>
    </row>
    <row r="71" spans="1:6" s="1100" customFormat="1" ht="48">
      <c r="A71" s="1149">
        <v>11</v>
      </c>
      <c r="B71" s="3530"/>
      <c r="C71" s="1063" t="s">
        <v>1522</v>
      </c>
      <c r="D71" s="1063" t="s">
        <v>1523</v>
      </c>
      <c r="E71" s="1134">
        <v>0.2</v>
      </c>
      <c r="F71" s="1149">
        <v>30</v>
      </c>
    </row>
    <row r="72" spans="1:6" s="1100" customFormat="1" ht="36">
      <c r="A72" s="1149">
        <v>12</v>
      </c>
      <c r="B72" s="3530"/>
      <c r="C72" s="1063" t="s">
        <v>1524</v>
      </c>
      <c r="D72" s="1063" t="s">
        <v>1525</v>
      </c>
      <c r="E72" s="1134">
        <v>0.5</v>
      </c>
      <c r="F72" s="1149">
        <v>80</v>
      </c>
    </row>
    <row r="73" spans="1:6" s="1100" customFormat="1" ht="24">
      <c r="A73" s="1149">
        <v>13</v>
      </c>
      <c r="B73" s="3530"/>
      <c r="C73" s="1063" t="s">
        <v>1526</v>
      </c>
      <c r="D73" s="1063" t="s">
        <v>1527</v>
      </c>
      <c r="E73" s="1134">
        <v>0.4</v>
      </c>
      <c r="F73" s="1149">
        <v>60</v>
      </c>
    </row>
    <row r="74" spans="1:6" s="1100" customFormat="1" ht="24">
      <c r="A74" s="1149">
        <v>14</v>
      </c>
      <c r="B74" s="3530"/>
      <c r="C74" s="1063" t="s">
        <v>1528</v>
      </c>
      <c r="D74" s="1063" t="s">
        <v>1529</v>
      </c>
      <c r="E74" s="1134">
        <v>0.2</v>
      </c>
      <c r="F74" s="1149">
        <v>30</v>
      </c>
    </row>
    <row r="75" spans="1:6" s="1100" customFormat="1" ht="24">
      <c r="A75" s="1149">
        <v>15</v>
      </c>
      <c r="B75" s="3530"/>
      <c r="C75" s="1063" t="s">
        <v>1530</v>
      </c>
      <c r="D75" s="1063" t="s">
        <v>1531</v>
      </c>
      <c r="E75" s="1134">
        <v>0.2</v>
      </c>
      <c r="F75" s="1149">
        <v>30</v>
      </c>
    </row>
    <row r="76" spans="1:6" s="1100" customFormat="1" ht="24">
      <c r="A76" s="1149">
        <v>16</v>
      </c>
      <c r="B76" s="3530" t="s">
        <v>1532</v>
      </c>
      <c r="C76" s="1063" t="s">
        <v>1533</v>
      </c>
      <c r="D76" s="1063" t="s">
        <v>1534</v>
      </c>
      <c r="E76" s="1134">
        <v>0.5</v>
      </c>
      <c r="F76" s="1149">
        <v>80</v>
      </c>
    </row>
    <row r="77" spans="1:6" s="1100" customFormat="1" ht="24">
      <c r="A77" s="1149">
        <v>17</v>
      </c>
      <c r="B77" s="3530"/>
      <c r="C77" s="1063" t="s">
        <v>1535</v>
      </c>
      <c r="D77" s="1063" t="s">
        <v>1536</v>
      </c>
      <c r="E77" s="1134">
        <v>0.5</v>
      </c>
      <c r="F77" s="1149">
        <v>80</v>
      </c>
    </row>
    <row r="78" spans="1:6" s="1100" customFormat="1" ht="24">
      <c r="A78" s="1149">
        <v>18</v>
      </c>
      <c r="B78" s="3530"/>
      <c r="C78" s="1063" t="s">
        <v>1537</v>
      </c>
      <c r="D78" s="1063" t="s">
        <v>1538</v>
      </c>
      <c r="E78" s="1134">
        <v>0.2</v>
      </c>
      <c r="F78" s="1149">
        <v>30</v>
      </c>
    </row>
    <row r="79" spans="1:6" s="1100" customFormat="1" ht="24">
      <c r="A79" s="1149">
        <v>19</v>
      </c>
      <c r="B79" s="3530"/>
      <c r="C79" s="1063" t="s">
        <v>1539</v>
      </c>
      <c r="D79" s="1063" t="s">
        <v>1540</v>
      </c>
      <c r="E79" s="1134">
        <v>0.5</v>
      </c>
      <c r="F79" s="1149">
        <v>80</v>
      </c>
    </row>
    <row r="80" spans="1:6" s="1100" customFormat="1" ht="36">
      <c r="A80" s="1149">
        <v>20</v>
      </c>
      <c r="B80" s="3530"/>
      <c r="C80" s="1063" t="s">
        <v>1541</v>
      </c>
      <c r="D80" s="1063" t="s">
        <v>1542</v>
      </c>
      <c r="E80" s="1134">
        <v>0.2</v>
      </c>
      <c r="F80" s="1149">
        <v>30</v>
      </c>
    </row>
    <row r="81" spans="1:6" s="1100" customFormat="1" ht="36">
      <c r="A81" s="1149">
        <v>21</v>
      </c>
      <c r="B81" s="3530"/>
      <c r="C81" s="1063" t="s">
        <v>1543</v>
      </c>
      <c r="D81" s="1063" t="s">
        <v>1544</v>
      </c>
      <c r="E81" s="1134">
        <v>0.2</v>
      </c>
      <c r="F81" s="1149">
        <v>30</v>
      </c>
    </row>
    <row r="82" spans="1:6" s="1100" customFormat="1" ht="48">
      <c r="A82" s="1149">
        <v>22</v>
      </c>
      <c r="B82" s="3530"/>
      <c r="C82" s="1063" t="s">
        <v>1545</v>
      </c>
      <c r="D82" s="1063" t="s">
        <v>1546</v>
      </c>
      <c r="E82" s="1134">
        <v>0.2</v>
      </c>
      <c r="F82" s="1149">
        <v>30</v>
      </c>
    </row>
    <row r="83" spans="1:6" s="1100" customFormat="1" ht="48">
      <c r="A83" s="1149">
        <v>23</v>
      </c>
      <c r="B83" s="3530"/>
      <c r="C83" s="1063" t="s">
        <v>1547</v>
      </c>
      <c r="D83" s="1063" t="s">
        <v>1548</v>
      </c>
      <c r="E83" s="1134">
        <v>0.2</v>
      </c>
      <c r="F83" s="1149">
        <v>30</v>
      </c>
    </row>
    <row r="84" spans="1:6" s="1100" customFormat="1" ht="36">
      <c r="A84" s="1149">
        <v>24</v>
      </c>
      <c r="B84" s="3530"/>
      <c r="C84" s="1063" t="s">
        <v>1549</v>
      </c>
      <c r="D84" s="1063" t="s">
        <v>1550</v>
      </c>
      <c r="E84" s="1134">
        <v>0.2</v>
      </c>
      <c r="F84" s="1149">
        <v>30</v>
      </c>
    </row>
    <row r="85" spans="1:6" s="1100" customFormat="1" ht="36">
      <c r="A85" s="1149">
        <v>25</v>
      </c>
      <c r="B85" s="3530"/>
      <c r="C85" s="1063" t="s">
        <v>1551</v>
      </c>
      <c r="D85" s="1063" t="s">
        <v>1552</v>
      </c>
      <c r="E85" s="1134">
        <v>0.5</v>
      </c>
      <c r="F85" s="1149">
        <v>80</v>
      </c>
    </row>
    <row r="86" spans="1:6" s="1100" customFormat="1" ht="36">
      <c r="A86" s="1149">
        <v>26</v>
      </c>
      <c r="B86" s="3530"/>
      <c r="C86" s="1063" t="s">
        <v>1553</v>
      </c>
      <c r="D86" s="1063" t="s">
        <v>1554</v>
      </c>
      <c r="E86" s="1134">
        <v>0.2</v>
      </c>
      <c r="F86" s="1149">
        <v>30</v>
      </c>
    </row>
    <row r="87" spans="1:6" s="1100" customFormat="1" ht="36">
      <c r="A87" s="1149">
        <v>27</v>
      </c>
      <c r="B87" s="3530"/>
      <c r="C87" s="1063" t="s">
        <v>1555</v>
      </c>
      <c r="D87" s="1063" t="s">
        <v>1556</v>
      </c>
      <c r="E87" s="1134">
        <v>0.2</v>
      </c>
      <c r="F87" s="1149">
        <v>30</v>
      </c>
    </row>
    <row r="88" spans="1:6" s="1100" customFormat="1" ht="36">
      <c r="A88" s="1149">
        <v>28</v>
      </c>
      <c r="B88" s="3530"/>
      <c r="C88" s="1063" t="s">
        <v>1557</v>
      </c>
      <c r="D88" s="1063" t="s">
        <v>1558</v>
      </c>
      <c r="E88" s="1134">
        <v>0.2</v>
      </c>
      <c r="F88" s="1149">
        <v>30</v>
      </c>
    </row>
    <row r="89" spans="1:6" s="1100" customFormat="1" ht="24">
      <c r="A89" s="1149">
        <v>29</v>
      </c>
      <c r="B89" s="3530"/>
      <c r="C89" s="1063" t="s">
        <v>1559</v>
      </c>
      <c r="D89" s="1063" t="s">
        <v>1560</v>
      </c>
      <c r="E89" s="1134">
        <v>0.2</v>
      </c>
      <c r="F89" s="1149">
        <v>30</v>
      </c>
    </row>
    <row r="90" spans="1:6" s="1100" customFormat="1" ht="24">
      <c r="A90" s="1149">
        <v>30</v>
      </c>
      <c r="B90" s="3530"/>
      <c r="C90" s="1063" t="s">
        <v>1561</v>
      </c>
      <c r="D90" s="1063" t="s">
        <v>1562</v>
      </c>
      <c r="E90" s="1134">
        <v>0.2</v>
      </c>
      <c r="F90" s="1149">
        <v>30</v>
      </c>
    </row>
    <row r="91" spans="1:6" s="1100" customFormat="1" ht="36">
      <c r="A91" s="1149">
        <v>31</v>
      </c>
      <c r="B91" s="3530"/>
      <c r="C91" s="1063" t="s">
        <v>1563</v>
      </c>
      <c r="D91" s="1063" t="s">
        <v>1564</v>
      </c>
      <c r="E91" s="1134">
        <v>0.2</v>
      </c>
      <c r="F91" s="1149">
        <v>30</v>
      </c>
    </row>
    <row r="92" spans="1:6" s="1100" customFormat="1" ht="24">
      <c r="A92" s="1149">
        <v>32</v>
      </c>
      <c r="B92" s="3530" t="s">
        <v>1565</v>
      </c>
      <c r="C92" s="1149" t="s">
        <v>1566</v>
      </c>
      <c r="D92" s="1063" t="s">
        <v>1567</v>
      </c>
      <c r="E92" s="1134">
        <v>0.2</v>
      </c>
      <c r="F92" s="1149">
        <v>30</v>
      </c>
    </row>
    <row r="93" spans="1:6" s="1100" customFormat="1" ht="36">
      <c r="A93" s="1149">
        <v>33</v>
      </c>
      <c r="B93" s="3530"/>
      <c r="C93" s="1149" t="s">
        <v>1568</v>
      </c>
      <c r="D93" s="1063" t="s">
        <v>1569</v>
      </c>
      <c r="E93" s="1134">
        <v>0.2</v>
      </c>
      <c r="F93" s="1149">
        <v>30</v>
      </c>
    </row>
    <row r="94" spans="1:6" s="1100" customFormat="1" ht="48">
      <c r="A94" s="1149">
        <v>34</v>
      </c>
      <c r="B94" s="3530"/>
      <c r="C94" s="1149" t="s">
        <v>1570</v>
      </c>
      <c r="D94" s="1063" t="s">
        <v>1571</v>
      </c>
      <c r="E94" s="1134">
        <v>0.2</v>
      </c>
      <c r="F94" s="1149">
        <v>30</v>
      </c>
    </row>
    <row r="95" spans="1:6" s="1100" customFormat="1" ht="36">
      <c r="A95" s="1149">
        <v>35</v>
      </c>
      <c r="B95" s="3530"/>
      <c r="C95" s="1149" t="s">
        <v>1572</v>
      </c>
      <c r="D95" s="1063" t="s">
        <v>1573</v>
      </c>
      <c r="E95" s="1134">
        <v>0.2</v>
      </c>
      <c r="F95" s="1149">
        <v>30</v>
      </c>
    </row>
    <row r="96" spans="1:6" s="1100" customFormat="1" ht="48">
      <c r="A96" s="1149">
        <v>36</v>
      </c>
      <c r="B96" s="3530"/>
      <c r="C96" s="1063" t="s">
        <v>1574</v>
      </c>
      <c r="D96" s="1063" t="s">
        <v>1575</v>
      </c>
      <c r="E96" s="1134">
        <v>0.2</v>
      </c>
      <c r="F96" s="1149">
        <v>30</v>
      </c>
    </row>
    <row r="97" spans="1:6" s="1100" customFormat="1" ht="36">
      <c r="A97" s="1149">
        <v>37</v>
      </c>
      <c r="B97" s="3530"/>
      <c r="C97" s="1149" t="s">
        <v>1576</v>
      </c>
      <c r="D97" s="1063" t="s">
        <v>1577</v>
      </c>
      <c r="E97" s="1134">
        <v>0.2</v>
      </c>
      <c r="F97" s="1149">
        <v>30</v>
      </c>
    </row>
    <row r="98" spans="1:6" s="1100" customFormat="1" ht="36">
      <c r="A98" s="1149">
        <v>38</v>
      </c>
      <c r="B98" s="3530"/>
      <c r="C98" s="1149" t="s">
        <v>1578</v>
      </c>
      <c r="D98" s="1063" t="s">
        <v>1579</v>
      </c>
      <c r="E98" s="1134">
        <v>0.2</v>
      </c>
      <c r="F98" s="1149">
        <v>30</v>
      </c>
    </row>
    <row r="99" spans="1:6" s="1100" customFormat="1" ht="36">
      <c r="A99" s="1149">
        <v>39</v>
      </c>
      <c r="B99" s="3530" t="s">
        <v>1580</v>
      </c>
      <c r="C99" s="1149" t="s">
        <v>1581</v>
      </c>
      <c r="D99" s="1063" t="s">
        <v>1582</v>
      </c>
      <c r="E99" s="1134">
        <v>0.3</v>
      </c>
      <c r="F99" s="1149">
        <v>50</v>
      </c>
    </row>
    <row r="100" spans="1:6" s="1100" customFormat="1" ht="24">
      <c r="A100" s="1149">
        <v>40</v>
      </c>
      <c r="B100" s="3530"/>
      <c r="C100" s="1149" t="s">
        <v>1583</v>
      </c>
      <c r="D100" s="1063" t="s">
        <v>1584</v>
      </c>
      <c r="E100" s="1134">
        <v>0.2</v>
      </c>
      <c r="F100" s="1149">
        <v>30</v>
      </c>
    </row>
    <row r="101" spans="1:6" s="1100" customFormat="1" ht="36">
      <c r="A101" s="1149">
        <v>41</v>
      </c>
      <c r="B101" s="3530"/>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530" t="s">
        <v>1595</v>
      </c>
      <c r="C105" s="1149" t="s">
        <v>1596</v>
      </c>
      <c r="D105" s="1063" t="s">
        <v>1597</v>
      </c>
      <c r="E105" s="1134">
        <v>0.2</v>
      </c>
      <c r="F105" s="1149">
        <v>30</v>
      </c>
    </row>
    <row r="106" spans="1:6" s="1100" customFormat="1" ht="36">
      <c r="A106" s="1149">
        <v>46</v>
      </c>
      <c r="B106" s="3530"/>
      <c r="C106" s="1149" t="s">
        <v>1598</v>
      </c>
      <c r="D106" s="1063" t="s">
        <v>1599</v>
      </c>
      <c r="E106" s="1134">
        <v>0.2</v>
      </c>
      <c r="F106" s="1149">
        <v>30</v>
      </c>
    </row>
    <row r="107" spans="1:6" s="1100" customFormat="1" ht="36">
      <c r="A107" s="1149">
        <v>47</v>
      </c>
      <c r="B107" s="3530" t="s">
        <v>1600</v>
      </c>
      <c r="C107" s="1149" t="s">
        <v>1601</v>
      </c>
      <c r="D107" s="1063" t="s">
        <v>1602</v>
      </c>
      <c r="E107" s="1134">
        <v>0.3</v>
      </c>
      <c r="F107" s="1149">
        <v>50</v>
      </c>
    </row>
    <row r="108" spans="1:6" s="1100" customFormat="1" ht="36">
      <c r="A108" s="1149">
        <v>48</v>
      </c>
      <c r="B108" s="3530"/>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530" t="s">
        <v>1611</v>
      </c>
      <c r="C111" s="1149" t="s">
        <v>1612</v>
      </c>
      <c r="D111" s="1063" t="s">
        <v>1613</v>
      </c>
      <c r="E111" s="1134">
        <v>0.2</v>
      </c>
      <c r="F111" s="1149">
        <v>30</v>
      </c>
    </row>
    <row r="112" spans="1:6" s="1100" customFormat="1" ht="24">
      <c r="A112" s="1149">
        <v>52</v>
      </c>
      <c r="B112" s="3530"/>
      <c r="C112" s="1149" t="s">
        <v>1614</v>
      </c>
      <c r="D112" s="1063" t="s">
        <v>1615</v>
      </c>
      <c r="E112" s="1134">
        <v>0.2</v>
      </c>
      <c r="F112" s="1149">
        <v>30</v>
      </c>
    </row>
    <row r="113" spans="1:14" s="1100" customFormat="1" ht="24">
      <c r="A113" s="1149">
        <v>53</v>
      </c>
      <c r="B113" s="3530"/>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530" t="s">
        <v>1624</v>
      </c>
      <c r="C116" s="1149" t="s">
        <v>1625</v>
      </c>
      <c r="D116" s="1063" t="s">
        <v>1626</v>
      </c>
      <c r="E116" s="1134">
        <v>0.2</v>
      </c>
      <c r="F116" s="1149">
        <v>30</v>
      </c>
    </row>
    <row r="117" spans="1:14" ht="36">
      <c r="A117" s="1149">
        <v>57</v>
      </c>
      <c r="B117" s="3530"/>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529" t="s">
        <v>1633</v>
      </c>
      <c r="B121" s="3529"/>
      <c r="C121" s="3529"/>
      <c r="D121" s="3529"/>
      <c r="E121" s="3529"/>
      <c r="F121" s="3529"/>
      <c r="G121" s="3529"/>
      <c r="H121" s="3529"/>
      <c r="I121" s="3529"/>
      <c r="J121" s="3529"/>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542" t="s">
        <v>1039</v>
      </c>
      <c r="B1" s="3542"/>
      <c r="C1" s="3542"/>
      <c r="D1" s="3542"/>
      <c r="E1" s="3542"/>
      <c r="F1" s="35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543" t="s">
        <v>1052</v>
      </c>
      <c r="B2" s="3543"/>
      <c r="C2" s="3543"/>
      <c r="D2" s="3543"/>
      <c r="E2" s="3543"/>
      <c r="F2" s="35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5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5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908</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909</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910</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911</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912</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913</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914</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915</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916</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917</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2423</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924</v>
      </c>
      <c r="B49" s="1077" t="s">
        <v>1404</v>
      </c>
      <c r="C49" s="1077">
        <v>17090</v>
      </c>
      <c r="D49" s="1077">
        <v>16950</v>
      </c>
      <c r="E49" s="1077">
        <v>16310</v>
      </c>
      <c r="F49" s="1078">
        <v>4540</v>
      </c>
      <c r="H49" s="1095"/>
      <c r="N49" s="1070" t="s">
        <v>1405</v>
      </c>
      <c r="O49" s="1070" t="s">
        <v>1406</v>
      </c>
    </row>
    <row r="50" spans="1:15" ht="14.25" customHeight="1" thickBot="1">
      <c r="A50" s="1076" t="s">
        <v>924</v>
      </c>
      <c r="B50" s="1070" t="s">
        <v>1073</v>
      </c>
      <c r="C50" s="1070">
        <v>19040</v>
      </c>
      <c r="D50" s="1070">
        <v>16960</v>
      </c>
      <c r="E50" s="1070">
        <v>14800</v>
      </c>
      <c r="F50" s="1088">
        <v>3940</v>
      </c>
      <c r="H50" s="1095"/>
    </row>
    <row r="51" spans="1:15" ht="14.25" customHeight="1" thickBot="1">
      <c r="A51" s="1076" t="s">
        <v>924</v>
      </c>
      <c r="B51" s="1070" t="s">
        <v>1087</v>
      </c>
      <c r="C51" s="1070">
        <v>17040</v>
      </c>
      <c r="D51" s="1070">
        <v>16930</v>
      </c>
      <c r="E51" s="1070">
        <v>15030</v>
      </c>
      <c r="F51" s="1088">
        <v>4120</v>
      </c>
      <c r="H51" s="1095"/>
    </row>
    <row r="52" spans="1:15" ht="14.25" customHeight="1" thickBot="1">
      <c r="A52" s="1076" t="s">
        <v>924</v>
      </c>
      <c r="B52" s="1070" t="s">
        <v>1100</v>
      </c>
      <c r="C52" s="1070">
        <v>17110</v>
      </c>
      <c r="D52" s="1070">
        <v>17750</v>
      </c>
      <c r="E52" s="1070">
        <v>17310</v>
      </c>
      <c r="F52" s="1088">
        <v>3220</v>
      </c>
      <c r="H52" s="1095"/>
    </row>
    <row r="53" spans="1:15" ht="14.25" customHeight="1" thickBot="1">
      <c r="A53" s="1076" t="s">
        <v>924</v>
      </c>
      <c r="B53" s="1070" t="s">
        <v>1114</v>
      </c>
      <c r="C53" s="1070">
        <v>17810</v>
      </c>
      <c r="D53" s="1070">
        <v>17260</v>
      </c>
      <c r="E53" s="1070">
        <v>17090</v>
      </c>
      <c r="F53" s="1088">
        <v>3520</v>
      </c>
      <c r="H53" s="1095"/>
    </row>
    <row r="54" spans="1:15" ht="14.25" customHeight="1" thickBot="1">
      <c r="A54" s="1076" t="s">
        <v>924</v>
      </c>
      <c r="B54" s="1070" t="s">
        <v>1125</v>
      </c>
      <c r="C54" s="1070">
        <v>17410</v>
      </c>
      <c r="D54" s="1070">
        <v>16780</v>
      </c>
      <c r="E54" s="1070">
        <v>16370</v>
      </c>
      <c r="F54" s="1088">
        <v>3410</v>
      </c>
      <c r="H54" s="1095"/>
    </row>
    <row r="55" spans="1:15" ht="14.25" customHeight="1" thickBot="1">
      <c r="A55" s="1076" t="s">
        <v>924</v>
      </c>
      <c r="B55" s="1070" t="s">
        <v>1136</v>
      </c>
      <c r="C55" s="1070">
        <v>16930</v>
      </c>
      <c r="D55" s="1070">
        <v>14720</v>
      </c>
      <c r="E55" s="1070">
        <v>15000</v>
      </c>
      <c r="F55" s="1088">
        <v>3710</v>
      </c>
      <c r="H55" s="1095"/>
    </row>
    <row r="56" spans="1:15" ht="14.25" customHeight="1" thickBot="1">
      <c r="A56" s="1076" t="s">
        <v>924</v>
      </c>
      <c r="B56" s="1070" t="s">
        <v>1147</v>
      </c>
      <c r="C56" s="1070">
        <v>14930</v>
      </c>
      <c r="D56" s="1070">
        <v>15850</v>
      </c>
      <c r="E56" s="1070">
        <v>14320</v>
      </c>
      <c r="F56" s="1088">
        <v>3960</v>
      </c>
      <c r="H56" s="1095"/>
    </row>
    <row r="57" spans="1:15" ht="14.25" customHeight="1" thickBot="1">
      <c r="A57" s="1076" t="s">
        <v>924</v>
      </c>
      <c r="B57" s="1070" t="s">
        <v>1159</v>
      </c>
      <c r="C57" s="1070">
        <v>16160</v>
      </c>
      <c r="D57" s="1070">
        <v>16190</v>
      </c>
      <c r="E57" s="1070">
        <v>15650</v>
      </c>
      <c r="F57" s="1088">
        <v>4200</v>
      </c>
      <c r="H57" s="1095"/>
    </row>
    <row r="58" spans="1:15" ht="14.25" customHeight="1" thickBot="1">
      <c r="A58" s="1076" t="s">
        <v>924</v>
      </c>
      <c r="B58" s="1070" t="s">
        <v>1169</v>
      </c>
      <c r="C58" s="1070">
        <v>16360</v>
      </c>
      <c r="D58" s="1070">
        <v>14050</v>
      </c>
      <c r="E58" s="1070">
        <v>16070</v>
      </c>
      <c r="F58" s="1088">
        <v>3990</v>
      </c>
      <c r="H58" s="1095"/>
    </row>
    <row r="59" spans="1:15" ht="14.25" customHeight="1" thickBot="1">
      <c r="A59" s="1076" t="s">
        <v>924</v>
      </c>
      <c r="B59" s="1070" t="s">
        <v>1179</v>
      </c>
      <c r="C59" s="1070">
        <v>14160</v>
      </c>
      <c r="D59" s="1070">
        <v>16620</v>
      </c>
      <c r="E59" s="1070">
        <v>13940</v>
      </c>
      <c r="F59" s="1088">
        <v>4260</v>
      </c>
      <c r="H59" s="1095"/>
    </row>
    <row r="60" spans="1:15" ht="14.25" customHeight="1" thickBot="1">
      <c r="A60" s="1076" t="s">
        <v>924</v>
      </c>
      <c r="B60" s="1070" t="s">
        <v>1189</v>
      </c>
      <c r="C60" s="1070">
        <v>16750</v>
      </c>
      <c r="D60" s="1070">
        <v>13910</v>
      </c>
      <c r="E60" s="1070">
        <v>16550</v>
      </c>
      <c r="F60" s="1088">
        <v>4550</v>
      </c>
      <c r="H60" s="1095"/>
    </row>
    <row r="61" spans="1:15" ht="14.25" customHeight="1" thickBot="1">
      <c r="A61" s="1076" t="s">
        <v>924</v>
      </c>
      <c r="B61" s="1070" t="s">
        <v>1199</v>
      </c>
      <c r="C61" s="1070">
        <v>14000</v>
      </c>
      <c r="D61" s="1070">
        <v>14550</v>
      </c>
      <c r="E61" s="1070">
        <v>13860</v>
      </c>
      <c r="F61" s="1097"/>
      <c r="H61" s="1095"/>
    </row>
    <row r="62" spans="1:15" ht="14.25" customHeight="1" thickBot="1">
      <c r="A62" s="1076" t="s">
        <v>924</v>
      </c>
      <c r="B62" s="1070" t="s">
        <v>1209</v>
      </c>
      <c r="C62" s="1070">
        <v>14660</v>
      </c>
      <c r="D62" s="1070">
        <v>17450</v>
      </c>
      <c r="E62" s="1070">
        <v>14470</v>
      </c>
      <c r="F62" s="1097"/>
      <c r="H62" s="1095"/>
    </row>
    <row r="63" spans="1:15" ht="14.25" customHeight="1" thickBot="1">
      <c r="A63" s="1076" t="s">
        <v>924</v>
      </c>
      <c r="B63" s="1070" t="s">
        <v>1219</v>
      </c>
      <c r="C63" s="1070">
        <v>17610</v>
      </c>
      <c r="D63" s="1070">
        <v>16500</v>
      </c>
      <c r="E63" s="1070">
        <v>17330</v>
      </c>
      <c r="F63" s="1097"/>
      <c r="H63" s="1095"/>
    </row>
    <row r="64" spans="1:15" ht="14.25" customHeight="1" thickBot="1">
      <c r="A64" s="1076" t="s">
        <v>924</v>
      </c>
      <c r="B64" s="1070" t="s">
        <v>1229</v>
      </c>
      <c r="C64" s="1070">
        <v>16590</v>
      </c>
      <c r="D64" s="1070">
        <v>15130</v>
      </c>
      <c r="E64" s="1070">
        <v>16420</v>
      </c>
      <c r="F64" s="1097"/>
      <c r="H64" s="1095"/>
    </row>
    <row r="65" spans="1:8" s="1064" customFormat="1" ht="14.25" customHeight="1" thickBot="1">
      <c r="A65" s="1076" t="s">
        <v>924</v>
      </c>
      <c r="B65" s="1070" t="s">
        <v>1239</v>
      </c>
      <c r="C65" s="1070">
        <v>15220</v>
      </c>
      <c r="D65" s="1070">
        <v>14660</v>
      </c>
      <c r="E65" s="1070">
        <v>15060</v>
      </c>
      <c r="F65" s="1088"/>
      <c r="H65" s="1095"/>
    </row>
    <row r="66" spans="1:8" s="1064" customFormat="1" ht="14.25" customHeight="1" thickBot="1">
      <c r="A66" s="1076" t="s">
        <v>924</v>
      </c>
      <c r="B66" s="1070" t="s">
        <v>1249</v>
      </c>
      <c r="C66" s="1070">
        <v>14720</v>
      </c>
      <c r="D66" s="1070">
        <v>15970</v>
      </c>
      <c r="E66" s="1070">
        <v>14610</v>
      </c>
      <c r="F66" s="1088"/>
      <c r="H66" s="1095"/>
    </row>
    <row r="67" spans="1:8" s="1064" customFormat="1" ht="14.25" customHeight="1" thickBot="1">
      <c r="A67" s="1076" t="s">
        <v>924</v>
      </c>
      <c r="B67" s="1070" t="s">
        <v>1259</v>
      </c>
      <c r="C67" s="1070">
        <v>16080</v>
      </c>
      <c r="D67" s="1070">
        <v>14840</v>
      </c>
      <c r="E67" s="1070">
        <v>15630</v>
      </c>
      <c r="F67" s="1088"/>
      <c r="H67" s="1095"/>
    </row>
    <row r="68" spans="1:8" s="1064" customFormat="1" ht="14.25" customHeight="1" thickBot="1">
      <c r="A68" s="1076" t="s">
        <v>924</v>
      </c>
      <c r="B68" s="1070" t="s">
        <v>1268</v>
      </c>
      <c r="C68" s="1070">
        <v>14940</v>
      </c>
      <c r="D68" s="1070">
        <v>18000</v>
      </c>
      <c r="E68" s="1070">
        <v>14040</v>
      </c>
      <c r="F68" s="1088"/>
      <c r="H68" s="1095"/>
    </row>
    <row r="69" spans="1:8" s="1064" customFormat="1" ht="14.25" customHeight="1" thickBot="1">
      <c r="A69" s="1076" t="s">
        <v>924</v>
      </c>
      <c r="B69" s="1070" t="s">
        <v>1277</v>
      </c>
      <c r="C69" s="1070">
        <v>18810</v>
      </c>
      <c r="D69" s="1070">
        <v>15100</v>
      </c>
      <c r="E69" s="1070">
        <v>14710</v>
      </c>
      <c r="F69" s="1088"/>
      <c r="H69" s="1095"/>
    </row>
    <row r="70" spans="1:8" s="1064" customFormat="1" ht="14.25" customHeight="1" thickBot="1">
      <c r="A70" s="1076" t="s">
        <v>924</v>
      </c>
      <c r="B70" s="1070" t="s">
        <v>1285</v>
      </c>
      <c r="C70" s="1070">
        <v>18270</v>
      </c>
      <c r="D70" s="1070"/>
      <c r="E70" s="1070"/>
      <c r="F70" s="1088"/>
      <c r="H70" s="1095"/>
    </row>
    <row r="71" spans="1:8" s="1064" customFormat="1" ht="14.25" customHeight="1" thickBot="1">
      <c r="A71" s="1076" t="s">
        <v>924</v>
      </c>
      <c r="B71" s="1070" t="s">
        <v>1292</v>
      </c>
      <c r="C71" s="1070">
        <v>15230</v>
      </c>
      <c r="D71" s="1070"/>
      <c r="E71" s="1070"/>
      <c r="F71" s="1088"/>
      <c r="H71" s="1095"/>
    </row>
    <row r="72" spans="1:8" s="1064" customFormat="1" ht="14.25" customHeight="1" thickBot="1">
      <c r="A72" s="1076" t="s">
        <v>924</v>
      </c>
      <c r="B72" s="1070" t="s">
        <v>1299</v>
      </c>
      <c r="C72" s="1070"/>
      <c r="D72" s="1070"/>
      <c r="E72" s="1070"/>
      <c r="F72" s="1088">
        <v>4120</v>
      </c>
      <c r="H72" s="1095"/>
    </row>
    <row r="73" spans="1:8" s="1064" customFormat="1" ht="14.25" customHeight="1" thickBot="1">
      <c r="A73" s="1076" t="s">
        <v>924</v>
      </c>
      <c r="B73" s="1070" t="s">
        <v>1306</v>
      </c>
      <c r="C73" s="1070"/>
      <c r="D73" s="1070"/>
      <c r="E73" s="1070"/>
      <c r="F73" s="1088">
        <v>3930</v>
      </c>
      <c r="H73" s="1095"/>
    </row>
    <row r="74" spans="1:8" s="1064" customFormat="1" ht="14.25" customHeight="1" thickBot="1">
      <c r="A74" s="1076" t="s">
        <v>924</v>
      </c>
      <c r="B74" s="1070" t="s">
        <v>1313</v>
      </c>
      <c r="C74" s="1070"/>
      <c r="D74" s="1070"/>
      <c r="E74" s="1070"/>
      <c r="F74" s="1088">
        <v>4060</v>
      </c>
      <c r="H74" s="1095"/>
    </row>
    <row r="75" spans="1:8" s="1064" customFormat="1" ht="14.25" customHeight="1" thickBot="1">
      <c r="A75" s="1076" t="s">
        <v>924</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2424</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916</v>
      </c>
      <c r="B317" s="1077" t="s">
        <v>1424</v>
      </c>
      <c r="C317" s="1077">
        <v>1200</v>
      </c>
      <c r="D317" s="1077">
        <v>1180</v>
      </c>
      <c r="E317" s="1077">
        <v>1160</v>
      </c>
      <c r="F317" s="1078">
        <v>370</v>
      </c>
      <c r="H317" s="1061"/>
    </row>
    <row r="318" spans="1:8" s="1064" customFormat="1" ht="14.25" customHeight="1" thickBot="1">
      <c r="A318" s="1076" t="s">
        <v>916</v>
      </c>
      <c r="B318" s="1070" t="s">
        <v>1425</v>
      </c>
      <c r="C318" s="1070">
        <v>1090</v>
      </c>
      <c r="D318" s="1070">
        <v>1060</v>
      </c>
      <c r="E318" s="1070">
        <v>1040</v>
      </c>
      <c r="F318" s="1097"/>
      <c r="H318" s="1061"/>
    </row>
    <row r="319" spans="1:8" s="1064" customFormat="1" ht="14.25" customHeight="1" thickBot="1">
      <c r="A319" s="1076" t="s">
        <v>916</v>
      </c>
      <c r="B319" s="1070" t="s">
        <v>1426</v>
      </c>
      <c r="C319" s="1070">
        <v>1520</v>
      </c>
      <c r="D319" s="1070">
        <v>1470</v>
      </c>
      <c r="E319" s="1070">
        <v>1440</v>
      </c>
      <c r="F319" s="1088">
        <v>370</v>
      </c>
      <c r="H319" s="1061"/>
    </row>
    <row r="320" spans="1:8" s="1064" customFormat="1" ht="14.25" customHeight="1" thickBot="1">
      <c r="A320" s="1076" t="s">
        <v>916</v>
      </c>
      <c r="B320" s="1070" t="s">
        <v>1107</v>
      </c>
      <c r="C320" s="1070">
        <v>1360</v>
      </c>
      <c r="D320" s="1070">
        <v>1300</v>
      </c>
      <c r="E320" s="1070">
        <v>1270</v>
      </c>
      <c r="F320" s="1097"/>
      <c r="H320" s="1061"/>
    </row>
    <row r="321" spans="1:8" s="1064" customFormat="1" ht="14.25" customHeight="1" thickBot="1">
      <c r="A321" s="1076" t="s">
        <v>916</v>
      </c>
      <c r="B321" s="1070" t="s">
        <v>1121</v>
      </c>
      <c r="C321" s="1070">
        <v>1750</v>
      </c>
      <c r="D321" s="1070">
        <v>1690</v>
      </c>
      <c r="E321" s="1070">
        <v>1660</v>
      </c>
      <c r="F321" s="1097"/>
      <c r="H321" s="1061"/>
    </row>
    <row r="322" spans="1:8" s="1064" customFormat="1" ht="14.25" customHeight="1" thickBot="1">
      <c r="A322" s="1076" t="s">
        <v>916</v>
      </c>
      <c r="B322" s="1070" t="s">
        <v>1132</v>
      </c>
      <c r="C322" s="1070">
        <v>1650</v>
      </c>
      <c r="D322" s="1070">
        <v>1610</v>
      </c>
      <c r="E322" s="1070">
        <v>1580</v>
      </c>
      <c r="F322" s="1088">
        <v>500</v>
      </c>
      <c r="H322" s="1061"/>
    </row>
    <row r="323" spans="1:8" s="1064" customFormat="1" ht="14.25" customHeight="1" thickBot="1">
      <c r="A323" s="1076" t="s">
        <v>916</v>
      </c>
      <c r="B323" s="1070" t="s">
        <v>1143</v>
      </c>
      <c r="C323" s="1070">
        <v>1780</v>
      </c>
      <c r="D323" s="1070">
        <v>1740</v>
      </c>
      <c r="E323" s="1070">
        <v>1720</v>
      </c>
      <c r="F323" s="1097"/>
      <c r="H323" s="1061"/>
    </row>
    <row r="324" spans="1:8" s="1064" customFormat="1" ht="14.25" customHeight="1" thickBot="1">
      <c r="A324" s="1076" t="s">
        <v>916</v>
      </c>
      <c r="B324" s="1070" t="s">
        <v>1154</v>
      </c>
      <c r="C324" s="1070">
        <v>1650</v>
      </c>
      <c r="D324" s="1070">
        <v>1610</v>
      </c>
      <c r="E324" s="1070">
        <v>1580</v>
      </c>
      <c r="F324" s="1097"/>
      <c r="H324" s="1061"/>
    </row>
    <row r="325" spans="1:8" s="1064" customFormat="1" ht="14.25" customHeight="1" thickBot="1">
      <c r="A325" s="1076" t="s">
        <v>916</v>
      </c>
      <c r="B325" s="1070" t="s">
        <v>1166</v>
      </c>
      <c r="C325" s="1070">
        <v>1330</v>
      </c>
      <c r="D325" s="1070">
        <v>1270</v>
      </c>
      <c r="E325" s="1070">
        <v>1240</v>
      </c>
      <c r="F325" s="1088">
        <v>430</v>
      </c>
      <c r="H325" s="1061"/>
    </row>
    <row r="326" spans="1:8" s="1064" customFormat="1" ht="14.25" customHeight="1" thickBot="1">
      <c r="A326" s="1076" t="s">
        <v>916</v>
      </c>
      <c r="B326" s="1070" t="s">
        <v>1176</v>
      </c>
      <c r="C326" s="1070">
        <v>1470</v>
      </c>
      <c r="D326" s="1070">
        <v>1430</v>
      </c>
      <c r="E326" s="1070">
        <v>1400</v>
      </c>
      <c r="F326" s="1097"/>
      <c r="H326" s="1061"/>
    </row>
    <row r="327" spans="1:8" s="1064" customFormat="1" ht="14.25" customHeight="1" thickBot="1">
      <c r="A327" s="1076" t="s">
        <v>916</v>
      </c>
      <c r="B327" s="1070" t="s">
        <v>1186</v>
      </c>
      <c r="C327" s="1070">
        <v>1420</v>
      </c>
      <c r="D327" s="1070">
        <v>1380</v>
      </c>
      <c r="E327" s="1070">
        <v>1360</v>
      </c>
      <c r="F327" s="1088">
        <v>420</v>
      </c>
      <c r="H327" s="1061"/>
    </row>
    <row r="328" spans="1:8" s="1064" customFormat="1" ht="14.25" customHeight="1" thickBot="1">
      <c r="A328" s="1076" t="s">
        <v>916</v>
      </c>
      <c r="B328" s="1070" t="s">
        <v>1196</v>
      </c>
      <c r="C328" s="1070">
        <v>1400</v>
      </c>
      <c r="D328" s="1070">
        <v>1360</v>
      </c>
      <c r="E328" s="1070">
        <v>1330</v>
      </c>
      <c r="F328" s="1088">
        <v>460</v>
      </c>
      <c r="H328" s="1061"/>
    </row>
    <row r="329" spans="1:8" s="1064" customFormat="1" ht="14.25" customHeight="1" thickBot="1">
      <c r="A329" s="1076" t="s">
        <v>916</v>
      </c>
      <c r="B329" s="1070" t="s">
        <v>1206</v>
      </c>
      <c r="C329" s="1070">
        <v>1640</v>
      </c>
      <c r="D329" s="1070">
        <v>1610</v>
      </c>
      <c r="E329" s="1070">
        <v>1580</v>
      </c>
      <c r="F329" s="1088">
        <v>410</v>
      </c>
      <c r="H329" s="1061"/>
    </row>
    <row r="330" spans="1:8" s="1064" customFormat="1" ht="14.25" customHeight="1" thickBot="1">
      <c r="A330" s="1076" t="s">
        <v>916</v>
      </c>
      <c r="B330" s="1070" t="s">
        <v>1216</v>
      </c>
      <c r="C330" s="1070">
        <v>1260</v>
      </c>
      <c r="D330" s="1070">
        <v>1220</v>
      </c>
      <c r="E330" s="1070">
        <v>1200</v>
      </c>
      <c r="F330" s="1097"/>
      <c r="H330" s="1061"/>
    </row>
    <row r="331" spans="1:8" s="1064" customFormat="1" ht="14.25" customHeight="1" thickBot="1">
      <c r="A331" s="1076" t="s">
        <v>916</v>
      </c>
      <c r="B331" s="1070" t="s">
        <v>1226</v>
      </c>
      <c r="C331" s="1070">
        <v>1620</v>
      </c>
      <c r="D331" s="1070">
        <v>1560</v>
      </c>
      <c r="E331" s="1070">
        <v>1530</v>
      </c>
      <c r="F331" s="1088">
        <v>490</v>
      </c>
      <c r="H331" s="1061"/>
    </row>
    <row r="332" spans="1:8" s="1064" customFormat="1" ht="14.25" customHeight="1" thickBot="1">
      <c r="A332" s="1076" t="s">
        <v>916</v>
      </c>
      <c r="B332" s="1070" t="s">
        <v>1236</v>
      </c>
      <c r="C332" s="1070">
        <v>1520</v>
      </c>
      <c r="D332" s="1070">
        <v>1470</v>
      </c>
      <c r="E332" s="1070">
        <v>1440</v>
      </c>
      <c r="F332" s="1088">
        <v>440</v>
      </c>
      <c r="H332" s="1061"/>
    </row>
    <row r="333" spans="1:8" s="1064" customFormat="1" ht="14.25" customHeight="1" thickBot="1">
      <c r="A333" s="1076" t="s">
        <v>916</v>
      </c>
      <c r="B333" s="1070" t="s">
        <v>1246</v>
      </c>
      <c r="C333" s="1070">
        <v>1370</v>
      </c>
      <c r="D333" s="1070">
        <v>1320</v>
      </c>
      <c r="E333" s="1070">
        <v>1300</v>
      </c>
      <c r="F333" s="1088">
        <v>460</v>
      </c>
      <c r="H333" s="1061"/>
    </row>
    <row r="334" spans="1:8" s="1064" customFormat="1" ht="14.25" customHeight="1" thickBot="1">
      <c r="A334" s="1076" t="s">
        <v>916</v>
      </c>
      <c r="B334" s="1070" t="s">
        <v>1256</v>
      </c>
      <c r="C334" s="1070">
        <v>1410</v>
      </c>
      <c r="D334" s="1070">
        <v>1340</v>
      </c>
      <c r="E334" s="1070">
        <v>1310</v>
      </c>
      <c r="F334" s="1088">
        <v>410</v>
      </c>
      <c r="H334" s="1061"/>
    </row>
    <row r="335" spans="1:8" s="1064" customFormat="1" ht="14.25" customHeight="1" thickBot="1">
      <c r="A335" s="1076" t="s">
        <v>916</v>
      </c>
      <c r="B335" s="1070" t="s">
        <v>1266</v>
      </c>
      <c r="C335" s="1070">
        <v>1260</v>
      </c>
      <c r="D335" s="1070">
        <v>1220</v>
      </c>
      <c r="E335" s="1070">
        <v>1200</v>
      </c>
      <c r="F335" s="1097"/>
      <c r="H335" s="1061"/>
    </row>
    <row r="336" spans="1:8" s="1064" customFormat="1" ht="14.25" customHeight="1" thickBot="1">
      <c r="A336" s="1076" t="s">
        <v>916</v>
      </c>
      <c r="B336" s="1070" t="s">
        <v>1275</v>
      </c>
      <c r="C336" s="1070">
        <v>1160</v>
      </c>
      <c r="D336" s="1070">
        <v>1140</v>
      </c>
      <c r="E336" s="1070">
        <v>1120</v>
      </c>
      <c r="F336" s="1088">
        <v>430</v>
      </c>
      <c r="H336" s="1061"/>
    </row>
    <row r="337" spans="1:8" s="1064" customFormat="1" ht="14.25" customHeight="1" thickBot="1">
      <c r="A337" s="1076" t="s">
        <v>916</v>
      </c>
      <c r="B337" s="1086" t="s">
        <v>1284</v>
      </c>
      <c r="C337" s="1086"/>
      <c r="D337" s="1086"/>
      <c r="E337" s="1086"/>
      <c r="F337" s="1096">
        <v>380</v>
      </c>
      <c r="H337" s="1061"/>
    </row>
    <row r="338" spans="1:8" s="1064" customFormat="1" ht="14.25" customHeight="1" thickBot="1">
      <c r="A338" s="1076" t="s">
        <v>917</v>
      </c>
      <c r="B338" s="1077" t="s">
        <v>1427</v>
      </c>
      <c r="C338" s="1077">
        <v>880</v>
      </c>
      <c r="D338" s="1077">
        <v>850</v>
      </c>
      <c r="E338" s="1077">
        <v>830</v>
      </c>
      <c r="F338" s="1099"/>
      <c r="H338" s="1061"/>
    </row>
    <row r="339" spans="1:8" s="1064" customFormat="1" ht="14.25" customHeight="1" thickBot="1">
      <c r="A339" s="1076" t="s">
        <v>917</v>
      </c>
      <c r="B339" s="1070" t="s">
        <v>1428</v>
      </c>
      <c r="C339" s="1070">
        <v>830</v>
      </c>
      <c r="D339" s="1070">
        <v>800</v>
      </c>
      <c r="E339" s="1070">
        <v>780</v>
      </c>
      <c r="F339" s="1097"/>
      <c r="H339" s="1061"/>
    </row>
    <row r="340" spans="1:8" s="1064" customFormat="1" ht="14.25" customHeight="1" thickBot="1">
      <c r="A340" s="1076" t="s">
        <v>917</v>
      </c>
      <c r="B340" s="1070" t="s">
        <v>1429</v>
      </c>
      <c r="C340" s="1070">
        <v>980</v>
      </c>
      <c r="D340" s="1070">
        <v>950</v>
      </c>
      <c r="E340" s="1070">
        <v>920</v>
      </c>
      <c r="F340" s="1097"/>
      <c r="H340" s="1061"/>
    </row>
    <row r="341" spans="1:8" s="1064" customFormat="1" ht="14.25" customHeight="1" thickBot="1">
      <c r="A341" s="1076" t="s">
        <v>917</v>
      </c>
      <c r="B341" s="1070" t="s">
        <v>1430</v>
      </c>
      <c r="C341" s="1070">
        <v>760</v>
      </c>
      <c r="D341" s="1070">
        <v>720</v>
      </c>
      <c r="E341" s="1070">
        <v>690</v>
      </c>
      <c r="F341" s="1088">
        <v>350</v>
      </c>
      <c r="H341" s="1061"/>
    </row>
    <row r="342" spans="1:8" s="1064" customFormat="1" ht="14.25" customHeight="1" thickBot="1">
      <c r="A342" s="1076" t="s">
        <v>917</v>
      </c>
      <c r="B342" s="1070" t="s">
        <v>1122</v>
      </c>
      <c r="C342" s="1070">
        <v>910</v>
      </c>
      <c r="D342" s="1070">
        <v>870</v>
      </c>
      <c r="E342" s="1070">
        <v>850</v>
      </c>
      <c r="F342" s="1088">
        <v>370</v>
      </c>
      <c r="H342" s="1061"/>
    </row>
    <row r="343" spans="1:8" s="1064" customFormat="1" ht="14.25" customHeight="1" thickBot="1">
      <c r="A343" s="1076" t="s">
        <v>917</v>
      </c>
      <c r="B343" s="1070" t="s">
        <v>1133</v>
      </c>
      <c r="C343" s="1070">
        <v>800</v>
      </c>
      <c r="D343" s="1070">
        <v>760</v>
      </c>
      <c r="E343" s="1070">
        <v>730</v>
      </c>
      <c r="F343" s="1088">
        <v>340</v>
      </c>
      <c r="H343" s="1061"/>
    </row>
    <row r="344" spans="1:8" s="1064" customFormat="1" ht="14.25" customHeight="1" thickBot="1">
      <c r="A344" s="1076" t="s">
        <v>917</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546" t="s">
        <v>2079</v>
      </c>
      <c r="B1" s="3546"/>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1096</v>
      </c>
      <c r="B6" s="1853" t="s">
        <v>2088</v>
      </c>
      <c r="C6" s="1854">
        <v>0.1</v>
      </c>
      <c r="D6" s="1854">
        <v>9.0999999999999998E-2</v>
      </c>
      <c r="E6" s="1854">
        <v>9.0999999999999998E-2</v>
      </c>
      <c r="F6" s="1855">
        <v>0.1</v>
      </c>
    </row>
    <row r="7" spans="1:6" ht="14.25" thickBot="1">
      <c r="A7" s="1849" t="s">
        <v>1096</v>
      </c>
      <c r="B7" s="1856" t="s">
        <v>1084</v>
      </c>
      <c r="C7" s="1854">
        <v>8.5999999999999993E-2</v>
      </c>
      <c r="D7" s="1854">
        <v>9.6000000000000002E-2</v>
      </c>
      <c r="E7" s="1854">
        <v>7.5999999999999998E-2</v>
      </c>
      <c r="F7" s="1855">
        <v>0.1</v>
      </c>
    </row>
    <row r="8" spans="1:6" ht="14.25" thickBot="1">
      <c r="A8" s="1849" t="s">
        <v>1096</v>
      </c>
      <c r="B8" s="1853" t="s">
        <v>1097</v>
      </c>
      <c r="C8" s="1854">
        <v>9.9000000000000005E-2</v>
      </c>
      <c r="D8" s="1854">
        <v>9.8000000000000004E-2</v>
      </c>
      <c r="E8" s="1854">
        <v>9.8000000000000004E-2</v>
      </c>
      <c r="F8" s="1855">
        <v>0.1</v>
      </c>
    </row>
    <row r="9" spans="1:6" ht="14.25" thickBot="1">
      <c r="A9" s="1857" t="s">
        <v>1096</v>
      </c>
      <c r="B9" s="1858" t="s">
        <v>1111</v>
      </c>
      <c r="C9" s="1859">
        <v>0.05</v>
      </c>
      <c r="D9" s="1860"/>
      <c r="E9" s="1860"/>
      <c r="F9" s="1861"/>
    </row>
    <row r="10" spans="1:6" ht="14.25" thickBot="1">
      <c r="A10" s="1849" t="s">
        <v>1155</v>
      </c>
      <c r="B10" s="1850" t="s">
        <v>2089</v>
      </c>
      <c r="C10" s="1851">
        <v>8.8999999999999996E-2</v>
      </c>
      <c r="D10" s="1851">
        <v>7.2999999999999995E-2</v>
      </c>
      <c r="E10" s="1851">
        <v>8.2000000000000003E-2</v>
      </c>
      <c r="F10" s="1852">
        <v>0.1</v>
      </c>
    </row>
    <row r="11" spans="1:6" ht="14.25" thickBot="1">
      <c r="A11" s="1849" t="s">
        <v>1155</v>
      </c>
      <c r="B11" s="1856" t="s">
        <v>1071</v>
      </c>
      <c r="C11" s="1854">
        <v>8.8999999999999996E-2</v>
      </c>
      <c r="D11" s="1854">
        <v>7.2999999999999995E-2</v>
      </c>
      <c r="E11" s="1854">
        <v>8.2000000000000003E-2</v>
      </c>
      <c r="F11" s="1855">
        <v>0.1</v>
      </c>
    </row>
    <row r="12" spans="1:6" ht="14.25" thickBot="1">
      <c r="A12" s="1849" t="s">
        <v>1155</v>
      </c>
      <c r="B12" s="1856" t="s">
        <v>1085</v>
      </c>
      <c r="C12" s="1854">
        <v>6.0999999999999999E-2</v>
      </c>
      <c r="D12" s="1854">
        <v>7.0999999999999994E-2</v>
      </c>
      <c r="E12" s="1854">
        <v>9.6000000000000002E-2</v>
      </c>
      <c r="F12" s="1855">
        <v>0.1</v>
      </c>
    </row>
    <row r="13" spans="1:6" ht="14.25" thickBot="1">
      <c r="A13" s="1849" t="s">
        <v>1155</v>
      </c>
      <c r="B13" s="1856" t="s">
        <v>1098</v>
      </c>
      <c r="C13" s="1854">
        <v>6.9000000000000006E-2</v>
      </c>
      <c r="D13" s="1854">
        <v>6.5000000000000002E-2</v>
      </c>
      <c r="E13" s="1854">
        <v>6.6000000000000003E-2</v>
      </c>
      <c r="F13" s="1855">
        <v>0.1</v>
      </c>
    </row>
    <row r="14" spans="1:6" ht="14.25" thickBot="1">
      <c r="A14" s="1849" t="s">
        <v>1155</v>
      </c>
      <c r="B14" s="1856" t="s">
        <v>1112</v>
      </c>
      <c r="C14" s="1854">
        <v>0.1</v>
      </c>
      <c r="D14" s="1854">
        <v>6.5000000000000002E-2</v>
      </c>
      <c r="E14" s="1854">
        <v>7.0000000000000007E-2</v>
      </c>
      <c r="F14" s="1855">
        <v>0.1</v>
      </c>
    </row>
    <row r="15" spans="1:6" ht="14.25" thickBot="1">
      <c r="A15" s="1849" t="s">
        <v>1155</v>
      </c>
      <c r="B15" s="1856" t="s">
        <v>1123</v>
      </c>
      <c r="C15" s="1854">
        <v>9.8000000000000004E-2</v>
      </c>
      <c r="D15" s="1854">
        <v>8.8999999999999996E-2</v>
      </c>
      <c r="E15" s="1854">
        <v>8.8999999999999996E-2</v>
      </c>
      <c r="F15" s="1855">
        <v>0.1</v>
      </c>
    </row>
    <row r="16" spans="1:6" ht="14.25" thickBot="1">
      <c r="A16" s="1849" t="s">
        <v>1155</v>
      </c>
      <c r="B16" s="1856" t="s">
        <v>1134</v>
      </c>
      <c r="C16" s="1854">
        <v>7.0000000000000007E-2</v>
      </c>
      <c r="D16" s="1854">
        <v>9.2999999999999999E-2</v>
      </c>
      <c r="E16" s="1854">
        <v>9.6000000000000002E-2</v>
      </c>
      <c r="F16" s="1855">
        <v>0.1</v>
      </c>
    </row>
    <row r="17" spans="1:6" ht="14.25" thickBot="1">
      <c r="A17" s="1849" t="s">
        <v>1155</v>
      </c>
      <c r="B17" s="1856" t="s">
        <v>1145</v>
      </c>
      <c r="C17" s="1854">
        <v>9.5000000000000001E-2</v>
      </c>
      <c r="D17" s="1854">
        <v>0.1</v>
      </c>
      <c r="E17" s="1854">
        <v>0.1</v>
      </c>
      <c r="F17" s="1862"/>
    </row>
    <row r="18" spans="1:6" ht="14.25" thickBot="1">
      <c r="A18" s="1849" t="s">
        <v>1155</v>
      </c>
      <c r="B18" s="1856" t="s">
        <v>1157</v>
      </c>
      <c r="C18" s="1854">
        <v>7.3999999999999996E-2</v>
      </c>
      <c r="D18" s="1854">
        <v>9.9000000000000005E-2</v>
      </c>
      <c r="E18" s="1854">
        <v>0.1</v>
      </c>
      <c r="F18" s="1862"/>
    </row>
    <row r="19" spans="1:6" ht="14.25" thickBot="1">
      <c r="A19" s="1849" t="s">
        <v>1155</v>
      </c>
      <c r="B19" s="1856" t="s">
        <v>1167</v>
      </c>
      <c r="C19" s="1854">
        <v>9.9000000000000005E-2</v>
      </c>
      <c r="D19" s="1854">
        <v>7.5999999999999998E-2</v>
      </c>
      <c r="E19" s="1854">
        <v>8.6999999999999994E-2</v>
      </c>
      <c r="F19" s="1862"/>
    </row>
    <row r="20" spans="1:6" ht="14.25" thickBot="1">
      <c r="A20" s="1849" t="s">
        <v>1155</v>
      </c>
      <c r="B20" s="1856" t="s">
        <v>1177</v>
      </c>
      <c r="C20" s="1854">
        <v>9.8000000000000004E-2</v>
      </c>
      <c r="D20" s="1854">
        <v>8.5000000000000006E-2</v>
      </c>
      <c r="E20" s="1854">
        <v>8.2000000000000003E-2</v>
      </c>
      <c r="F20" s="1862"/>
    </row>
    <row r="21" spans="1:6" ht="14.25" thickBot="1">
      <c r="A21" s="1849" t="s">
        <v>1155</v>
      </c>
      <c r="B21" s="1856" t="s">
        <v>1187</v>
      </c>
      <c r="C21" s="1854">
        <v>6.6000000000000003E-2</v>
      </c>
      <c r="D21" s="1854">
        <v>6.4000000000000001E-2</v>
      </c>
      <c r="E21" s="1854">
        <v>6.5000000000000002E-2</v>
      </c>
      <c r="F21" s="1862"/>
    </row>
    <row r="22" spans="1:6" ht="14.25" thickBot="1">
      <c r="A22" s="1849" t="s">
        <v>1155</v>
      </c>
      <c r="B22" s="1856" t="s">
        <v>2090</v>
      </c>
      <c r="C22" s="1854">
        <v>0.08</v>
      </c>
      <c r="D22" s="1854">
        <v>9.8000000000000004E-2</v>
      </c>
      <c r="E22" s="1854">
        <v>9.8000000000000004E-2</v>
      </c>
      <c r="F22" s="1862"/>
    </row>
    <row r="23" spans="1:6" ht="14.25" thickBot="1">
      <c r="A23" s="1849" t="s">
        <v>1155</v>
      </c>
      <c r="B23" s="1856" t="s">
        <v>1207</v>
      </c>
      <c r="C23" s="1854">
        <v>9.9000000000000005E-2</v>
      </c>
      <c r="D23" s="1854">
        <v>9.8000000000000004E-2</v>
      </c>
      <c r="E23" s="1854">
        <v>9.0999999999999998E-2</v>
      </c>
      <c r="F23" s="1862"/>
    </row>
    <row r="24" spans="1:6" ht="14.25" thickBot="1">
      <c r="A24" s="1849" t="s">
        <v>1155</v>
      </c>
      <c r="B24" s="1856" t="s">
        <v>1217</v>
      </c>
      <c r="C24" s="1854">
        <v>8.8999999999999996E-2</v>
      </c>
      <c r="D24" s="1854">
        <v>9.7000000000000003E-2</v>
      </c>
      <c r="E24" s="1854">
        <v>7.0000000000000007E-2</v>
      </c>
      <c r="F24" s="1862"/>
    </row>
    <row r="25" spans="1:6" ht="14.25" thickBot="1">
      <c r="A25" s="1849" t="s">
        <v>1155</v>
      </c>
      <c r="B25" s="1856" t="s">
        <v>1227</v>
      </c>
      <c r="C25" s="1854">
        <v>8.8999999999999996E-2</v>
      </c>
      <c r="D25" s="1854">
        <v>0.1</v>
      </c>
      <c r="E25" s="1854">
        <v>8.1000000000000003E-2</v>
      </c>
      <c r="F25" s="1862"/>
    </row>
    <row r="26" spans="1:6" ht="14.25" thickBot="1">
      <c r="A26" s="1849" t="s">
        <v>1155</v>
      </c>
      <c r="B26" s="1856" t="s">
        <v>1237</v>
      </c>
      <c r="C26" s="1863"/>
      <c r="D26" s="1854">
        <v>9.6000000000000002E-2</v>
      </c>
      <c r="E26" s="1854">
        <v>9.2999999999999999E-2</v>
      </c>
      <c r="F26" s="1862"/>
    </row>
    <row r="27" spans="1:6" ht="14.25" thickBot="1">
      <c r="A27" s="1849" t="s">
        <v>1155</v>
      </c>
      <c r="B27" s="1856" t="s">
        <v>1247</v>
      </c>
      <c r="C27" s="1863"/>
      <c r="D27" s="1854">
        <v>7.5999999999999998E-2</v>
      </c>
      <c r="E27" s="1854">
        <v>9.1999999999999998E-2</v>
      </c>
      <c r="F27" s="1862"/>
    </row>
    <row r="28" spans="1:6" ht="14.25" thickBot="1">
      <c r="A28" s="1857" t="s">
        <v>1155</v>
      </c>
      <c r="B28" s="1858" t="s">
        <v>1257</v>
      </c>
      <c r="C28" s="1860"/>
      <c r="D28" s="1859">
        <v>7.5999999999999998E-2</v>
      </c>
      <c r="E28" s="1859">
        <v>9.1999999999999998E-2</v>
      </c>
      <c r="F28" s="1861"/>
    </row>
    <row r="29" spans="1:6" ht="14.25" thickBot="1">
      <c r="A29" s="1849" t="s">
        <v>1326</v>
      </c>
      <c r="B29" s="1850" t="s">
        <v>2091</v>
      </c>
      <c r="C29" s="1851">
        <v>6.4000000000000001E-2</v>
      </c>
      <c r="D29" s="1851">
        <v>6.5000000000000002E-2</v>
      </c>
      <c r="E29" s="1851">
        <v>6.9000000000000006E-2</v>
      </c>
      <c r="F29" s="1852">
        <v>0.1</v>
      </c>
    </row>
    <row r="30" spans="1:6" ht="14.25" thickBot="1">
      <c r="A30" s="1849" t="s">
        <v>1326</v>
      </c>
      <c r="B30" s="1856" t="s">
        <v>1072</v>
      </c>
      <c r="C30" s="1854">
        <v>6.4000000000000001E-2</v>
      </c>
      <c r="D30" s="1854">
        <v>9.9000000000000005E-2</v>
      </c>
      <c r="E30" s="1854">
        <v>0.1</v>
      </c>
      <c r="F30" s="1855">
        <v>0.1</v>
      </c>
    </row>
    <row r="31" spans="1:6" ht="14.25" thickBot="1">
      <c r="A31" s="1849" t="s">
        <v>1326</v>
      </c>
      <c r="B31" s="1856" t="s">
        <v>1086</v>
      </c>
      <c r="C31" s="1854">
        <v>0.1</v>
      </c>
      <c r="D31" s="1854">
        <v>9.5000000000000001E-2</v>
      </c>
      <c r="E31" s="1854">
        <v>8.8999999999999996E-2</v>
      </c>
      <c r="F31" s="1855">
        <v>0.1</v>
      </c>
    </row>
    <row r="32" spans="1:6" ht="14.25" thickBot="1">
      <c r="A32" s="1849" t="s">
        <v>1326</v>
      </c>
      <c r="B32" s="1856" t="s">
        <v>1099</v>
      </c>
      <c r="C32" s="1854">
        <v>0.05</v>
      </c>
      <c r="D32" s="1854">
        <v>0.05</v>
      </c>
      <c r="E32" s="1854">
        <v>8.7999999999999995E-2</v>
      </c>
      <c r="F32" s="1855">
        <v>0.1</v>
      </c>
    </row>
    <row r="33" spans="1:6" ht="14.25" thickBot="1">
      <c r="A33" s="1849" t="s">
        <v>1326</v>
      </c>
      <c r="B33" s="1856" t="s">
        <v>1113</v>
      </c>
      <c r="C33" s="1854">
        <v>7.4999999999999997E-2</v>
      </c>
      <c r="D33" s="1854">
        <v>9.4E-2</v>
      </c>
      <c r="E33" s="1854">
        <v>9.7000000000000003E-2</v>
      </c>
      <c r="F33" s="1855">
        <v>0.1</v>
      </c>
    </row>
    <row r="34" spans="1:6" ht="14.25" thickBot="1">
      <c r="A34" s="1849" t="s">
        <v>1326</v>
      </c>
      <c r="B34" s="1856" t="s">
        <v>1124</v>
      </c>
      <c r="C34" s="1854">
        <v>9.8000000000000004E-2</v>
      </c>
      <c r="D34" s="1854">
        <v>8.5999999999999993E-2</v>
      </c>
      <c r="E34" s="1854">
        <v>9.7000000000000003E-2</v>
      </c>
      <c r="F34" s="1855">
        <v>0.1</v>
      </c>
    </row>
    <row r="35" spans="1:6" ht="14.25" thickBot="1">
      <c r="A35" s="1849" t="s">
        <v>1326</v>
      </c>
      <c r="B35" s="1856" t="s">
        <v>1135</v>
      </c>
      <c r="C35" s="1854">
        <v>5.8999999999999997E-2</v>
      </c>
      <c r="D35" s="1854">
        <v>6.5000000000000002E-2</v>
      </c>
      <c r="E35" s="1854">
        <v>7.0000000000000007E-2</v>
      </c>
      <c r="F35" s="1855">
        <v>0.1</v>
      </c>
    </row>
    <row r="36" spans="1:6" ht="14.25" thickBot="1">
      <c r="A36" s="1849" t="s">
        <v>1326</v>
      </c>
      <c r="B36" s="1856" t="s">
        <v>1146</v>
      </c>
      <c r="C36" s="1854">
        <v>6.3E-2</v>
      </c>
      <c r="D36" s="1854">
        <v>0.1</v>
      </c>
      <c r="E36" s="1854">
        <v>0.1</v>
      </c>
      <c r="F36" s="1855">
        <v>0.1</v>
      </c>
    </row>
    <row r="37" spans="1:6" ht="14.25" thickBot="1">
      <c r="A37" s="1849" t="s">
        <v>1326</v>
      </c>
      <c r="B37" s="1856" t="s">
        <v>1158</v>
      </c>
      <c r="C37" s="1854">
        <v>7.3999999999999996E-2</v>
      </c>
      <c r="D37" s="1854">
        <v>0.1</v>
      </c>
      <c r="E37" s="1854">
        <v>0.1</v>
      </c>
      <c r="F37" s="1855">
        <v>0.1</v>
      </c>
    </row>
    <row r="38" spans="1:6" ht="14.25" thickBot="1">
      <c r="A38" s="1849" t="s">
        <v>1326</v>
      </c>
      <c r="B38" s="1856" t="s">
        <v>1168</v>
      </c>
      <c r="C38" s="1854">
        <v>0.1</v>
      </c>
      <c r="D38" s="1854">
        <v>9.6000000000000002E-2</v>
      </c>
      <c r="E38" s="1854">
        <v>9.6000000000000002E-2</v>
      </c>
      <c r="F38" s="1862"/>
    </row>
    <row r="39" spans="1:6" ht="14.25" thickBot="1">
      <c r="A39" s="1849" t="s">
        <v>1326</v>
      </c>
      <c r="B39" s="1856" t="s">
        <v>1178</v>
      </c>
      <c r="C39" s="1854">
        <v>0.1</v>
      </c>
      <c r="D39" s="1854">
        <v>9.6000000000000002E-2</v>
      </c>
      <c r="E39" s="1854">
        <v>9.6000000000000002E-2</v>
      </c>
      <c r="F39" s="1862"/>
    </row>
    <row r="40" spans="1:6" ht="14.25" thickBot="1">
      <c r="A40" s="1849" t="s">
        <v>1326</v>
      </c>
      <c r="B40" s="1856" t="s">
        <v>1188</v>
      </c>
      <c r="C40" s="1854">
        <v>9.6000000000000002E-2</v>
      </c>
      <c r="D40" s="1854">
        <v>0.1</v>
      </c>
      <c r="E40" s="1854">
        <v>9.9000000000000005E-2</v>
      </c>
      <c r="F40" s="1862"/>
    </row>
    <row r="41" spans="1:6" ht="14.25" thickBot="1">
      <c r="A41" s="1849" t="s">
        <v>1326</v>
      </c>
      <c r="B41" s="1856" t="s">
        <v>1198</v>
      </c>
      <c r="C41" s="1854">
        <v>9.6000000000000002E-2</v>
      </c>
      <c r="D41" s="1854">
        <v>9.8000000000000004E-2</v>
      </c>
      <c r="E41" s="1854">
        <v>9.8000000000000004E-2</v>
      </c>
      <c r="F41" s="1862"/>
    </row>
    <row r="42" spans="1:6" ht="14.25" thickBot="1">
      <c r="A42" s="1849" t="s">
        <v>1326</v>
      </c>
      <c r="B42" s="1856" t="s">
        <v>1208</v>
      </c>
      <c r="C42" s="1854">
        <v>0.1</v>
      </c>
      <c r="D42" s="1854">
        <v>8.7999999999999995E-2</v>
      </c>
      <c r="E42" s="1854">
        <v>0.1</v>
      </c>
      <c r="F42" s="1862"/>
    </row>
    <row r="43" spans="1:6" ht="14.25" thickBot="1">
      <c r="A43" s="1849" t="s">
        <v>1326</v>
      </c>
      <c r="B43" s="1856" t="s">
        <v>1218</v>
      </c>
      <c r="C43" s="1854">
        <v>9.8000000000000004E-2</v>
      </c>
      <c r="D43" s="1854">
        <v>9.7000000000000003E-2</v>
      </c>
      <c r="E43" s="1854">
        <v>9.6000000000000002E-2</v>
      </c>
      <c r="F43" s="1862"/>
    </row>
    <row r="44" spans="1:6" ht="14.25" thickBot="1">
      <c r="A44" s="1849" t="s">
        <v>1326</v>
      </c>
      <c r="B44" s="1856" t="s">
        <v>1228</v>
      </c>
      <c r="C44" s="1854">
        <v>8.5999999999999993E-2</v>
      </c>
      <c r="D44" s="1854">
        <v>7.9000000000000001E-2</v>
      </c>
      <c r="E44" s="1854">
        <v>7.0999999999999994E-2</v>
      </c>
      <c r="F44" s="1862"/>
    </row>
    <row r="45" spans="1:6" ht="14.25" thickBot="1">
      <c r="A45" s="1849" t="s">
        <v>1326</v>
      </c>
      <c r="B45" s="1856" t="s">
        <v>1238</v>
      </c>
      <c r="C45" s="1854">
        <v>9.8000000000000004E-2</v>
      </c>
      <c r="D45" s="1854">
        <v>9.6000000000000002E-2</v>
      </c>
      <c r="E45" s="1854">
        <v>9.6000000000000002E-2</v>
      </c>
      <c r="F45" s="1862"/>
    </row>
    <row r="46" spans="1:6" ht="14.25" thickBot="1">
      <c r="A46" s="1849" t="s">
        <v>1326</v>
      </c>
      <c r="B46" s="1856" t="s">
        <v>1248</v>
      </c>
      <c r="C46" s="1854">
        <v>8.5999999999999993E-2</v>
      </c>
      <c r="D46" s="1854">
        <v>9.8000000000000004E-2</v>
      </c>
      <c r="E46" s="1854">
        <v>8.7999999999999995E-2</v>
      </c>
      <c r="F46" s="1862"/>
    </row>
    <row r="47" spans="1:6" ht="14.25" thickBot="1">
      <c r="A47" s="1849" t="s">
        <v>1326</v>
      </c>
      <c r="B47" s="1856" t="s">
        <v>1258</v>
      </c>
      <c r="C47" s="1854">
        <v>9.6000000000000002E-2</v>
      </c>
      <c r="D47" s="1863"/>
      <c r="E47" s="1854">
        <v>6.9000000000000006E-2</v>
      </c>
      <c r="F47" s="1862"/>
    </row>
    <row r="48" spans="1:6" ht="14.25" thickBot="1">
      <c r="A48" s="1857" t="s">
        <v>1326</v>
      </c>
      <c r="B48" s="1858" t="s">
        <v>1267</v>
      </c>
      <c r="C48" s="1859">
        <v>9.8000000000000004E-2</v>
      </c>
      <c r="D48" s="1860"/>
      <c r="E48" s="1859">
        <v>9.5000000000000001E-2</v>
      </c>
      <c r="F48" s="1861"/>
    </row>
    <row r="49" spans="1:6" ht="14.25" thickBot="1">
      <c r="A49" s="1849" t="s">
        <v>924</v>
      </c>
      <c r="B49" s="1850" t="s">
        <v>2092</v>
      </c>
      <c r="C49" s="1851">
        <v>9.7000000000000003E-2</v>
      </c>
      <c r="D49" s="1851">
        <v>9.5000000000000001E-2</v>
      </c>
      <c r="E49" s="1851">
        <v>9.7000000000000003E-2</v>
      </c>
      <c r="F49" s="1852">
        <v>0.1</v>
      </c>
    </row>
    <row r="50" spans="1:6" ht="14.25" thickBot="1">
      <c r="A50" s="1849" t="s">
        <v>924</v>
      </c>
      <c r="B50" s="1853" t="s">
        <v>1073</v>
      </c>
      <c r="C50" s="1854">
        <v>7.4999999999999997E-2</v>
      </c>
      <c r="D50" s="1854">
        <v>9.5000000000000001E-2</v>
      </c>
      <c r="E50" s="1854">
        <v>0.1</v>
      </c>
      <c r="F50" s="1855">
        <v>0.1</v>
      </c>
    </row>
    <row r="51" spans="1:6" ht="14.25" thickBot="1">
      <c r="A51" s="1849" t="s">
        <v>924</v>
      </c>
      <c r="B51" s="1853" t="s">
        <v>1087</v>
      </c>
      <c r="C51" s="1854">
        <v>9.8000000000000004E-2</v>
      </c>
      <c r="D51" s="1854">
        <v>8.8999999999999996E-2</v>
      </c>
      <c r="E51" s="1854">
        <v>0.1</v>
      </c>
      <c r="F51" s="1855">
        <v>0.1</v>
      </c>
    </row>
    <row r="52" spans="1:6" ht="14.25" thickBot="1">
      <c r="A52" s="1849" t="s">
        <v>924</v>
      </c>
      <c r="B52" s="1853" t="s">
        <v>1100</v>
      </c>
      <c r="C52" s="1854">
        <v>9.8000000000000004E-2</v>
      </c>
      <c r="D52" s="1854">
        <v>9.7000000000000003E-2</v>
      </c>
      <c r="E52" s="1854">
        <v>8.1000000000000003E-2</v>
      </c>
      <c r="F52" s="1855">
        <v>0.1</v>
      </c>
    </row>
    <row r="53" spans="1:6" ht="14.25" thickBot="1">
      <c r="A53" s="1849" t="s">
        <v>924</v>
      </c>
      <c r="B53" s="1853" t="s">
        <v>1114</v>
      </c>
      <c r="C53" s="1854">
        <v>9.7000000000000003E-2</v>
      </c>
      <c r="D53" s="1854">
        <v>7.5999999999999998E-2</v>
      </c>
      <c r="E53" s="1854">
        <v>7.0999999999999994E-2</v>
      </c>
      <c r="F53" s="1855">
        <v>0.1</v>
      </c>
    </row>
    <row r="54" spans="1:6" ht="14.25" thickBot="1">
      <c r="A54" s="1849" t="s">
        <v>924</v>
      </c>
      <c r="B54" s="1853" t="s">
        <v>1125</v>
      </c>
      <c r="C54" s="1854">
        <v>7.5999999999999998E-2</v>
      </c>
      <c r="D54" s="1854">
        <v>0.1</v>
      </c>
      <c r="E54" s="1854">
        <v>9.9000000000000005E-2</v>
      </c>
      <c r="F54" s="1855">
        <v>0.1</v>
      </c>
    </row>
    <row r="55" spans="1:6" ht="14.25" thickBot="1">
      <c r="A55" s="1849" t="s">
        <v>924</v>
      </c>
      <c r="B55" s="1853" t="s">
        <v>1136</v>
      </c>
      <c r="C55" s="1854">
        <v>0.1</v>
      </c>
      <c r="D55" s="1854">
        <v>0.1</v>
      </c>
      <c r="E55" s="1854">
        <v>9.6000000000000002E-2</v>
      </c>
      <c r="F55" s="1855">
        <v>0.1</v>
      </c>
    </row>
    <row r="56" spans="1:6" ht="14.25" thickBot="1">
      <c r="A56" s="1849" t="s">
        <v>924</v>
      </c>
      <c r="B56" s="1853" t="s">
        <v>1147</v>
      </c>
      <c r="C56" s="1854">
        <v>0.1</v>
      </c>
      <c r="D56" s="1854">
        <v>9.6000000000000002E-2</v>
      </c>
      <c r="E56" s="1854">
        <v>5.1999999999999998E-2</v>
      </c>
      <c r="F56" s="1855">
        <v>0.1</v>
      </c>
    </row>
    <row r="57" spans="1:6" ht="14.25" thickBot="1">
      <c r="A57" s="1849" t="s">
        <v>924</v>
      </c>
      <c r="B57" s="1853" t="s">
        <v>1159</v>
      </c>
      <c r="C57" s="1854">
        <v>9.7000000000000003E-2</v>
      </c>
      <c r="D57" s="1854">
        <v>9.6000000000000002E-2</v>
      </c>
      <c r="E57" s="1854">
        <v>9.6000000000000002E-2</v>
      </c>
      <c r="F57" s="1855">
        <v>0.1</v>
      </c>
    </row>
    <row r="58" spans="1:6" ht="14.25" thickBot="1">
      <c r="A58" s="1849" t="s">
        <v>924</v>
      </c>
      <c r="B58" s="1853" t="s">
        <v>1169</v>
      </c>
      <c r="C58" s="1854">
        <v>9.6000000000000002E-2</v>
      </c>
      <c r="D58" s="1854">
        <v>9.9000000000000005E-2</v>
      </c>
      <c r="E58" s="1854">
        <v>9.6000000000000002E-2</v>
      </c>
      <c r="F58" s="1855">
        <v>0.1</v>
      </c>
    </row>
    <row r="59" spans="1:6" ht="14.25" thickBot="1">
      <c r="A59" s="1849" t="s">
        <v>924</v>
      </c>
      <c r="B59" s="1853" t="s">
        <v>1179</v>
      </c>
      <c r="C59" s="1854">
        <v>7.1999999999999995E-2</v>
      </c>
      <c r="D59" s="1854">
        <v>9.6000000000000002E-2</v>
      </c>
      <c r="E59" s="1854">
        <v>7.0999999999999994E-2</v>
      </c>
      <c r="F59" s="1855">
        <v>0.1</v>
      </c>
    </row>
    <row r="60" spans="1:6" ht="14.25" thickBot="1">
      <c r="A60" s="1849" t="s">
        <v>924</v>
      </c>
      <c r="B60" s="1853" t="s">
        <v>1189</v>
      </c>
      <c r="C60" s="1854">
        <v>9.6000000000000002E-2</v>
      </c>
      <c r="D60" s="1854">
        <v>8.8999999999999996E-2</v>
      </c>
      <c r="E60" s="1854">
        <v>9.6000000000000002E-2</v>
      </c>
      <c r="F60" s="1855">
        <v>0.1</v>
      </c>
    </row>
    <row r="61" spans="1:6" ht="14.25" thickBot="1">
      <c r="A61" s="1849" t="s">
        <v>924</v>
      </c>
      <c r="B61" s="1853" t="s">
        <v>1199</v>
      </c>
      <c r="C61" s="1854">
        <v>8.8999999999999996E-2</v>
      </c>
      <c r="D61" s="1854">
        <v>9.8000000000000004E-2</v>
      </c>
      <c r="E61" s="1854">
        <v>8.7999999999999995E-2</v>
      </c>
      <c r="F61" s="1862"/>
    </row>
    <row r="62" spans="1:6" ht="14.25" thickBot="1">
      <c r="A62" s="1849" t="s">
        <v>924</v>
      </c>
      <c r="B62" s="1853" t="s">
        <v>1209</v>
      </c>
      <c r="C62" s="1854">
        <v>9.8000000000000004E-2</v>
      </c>
      <c r="D62" s="1854">
        <v>9.2999999999999999E-2</v>
      </c>
      <c r="E62" s="1854">
        <v>9.7000000000000003E-2</v>
      </c>
      <c r="F62" s="1862"/>
    </row>
    <row r="63" spans="1:6" ht="14.25" thickBot="1">
      <c r="A63" s="1849" t="s">
        <v>924</v>
      </c>
      <c r="B63" s="1853" t="s">
        <v>1219</v>
      </c>
      <c r="C63" s="1854">
        <v>9.6000000000000002E-2</v>
      </c>
      <c r="D63" s="1854">
        <v>9.8000000000000004E-2</v>
      </c>
      <c r="E63" s="1854">
        <v>0.09</v>
      </c>
      <c r="F63" s="1862"/>
    </row>
    <row r="64" spans="1:6" ht="14.25" thickBot="1">
      <c r="A64" s="1849" t="s">
        <v>924</v>
      </c>
      <c r="B64" s="1853" t="s">
        <v>1229</v>
      </c>
      <c r="C64" s="1854">
        <v>9.9000000000000005E-2</v>
      </c>
      <c r="D64" s="1854">
        <v>9.7000000000000003E-2</v>
      </c>
      <c r="E64" s="1854">
        <v>9.9000000000000005E-2</v>
      </c>
      <c r="F64" s="1862"/>
    </row>
    <row r="65" spans="1:6" ht="14.25" thickBot="1">
      <c r="A65" s="1849" t="s">
        <v>924</v>
      </c>
      <c r="B65" s="1853" t="s">
        <v>1239</v>
      </c>
      <c r="C65" s="1854">
        <v>9.8000000000000004E-2</v>
      </c>
      <c r="D65" s="1854">
        <v>9.6000000000000002E-2</v>
      </c>
      <c r="E65" s="1854">
        <v>9.6000000000000002E-2</v>
      </c>
      <c r="F65" s="1862"/>
    </row>
    <row r="66" spans="1:6" ht="14.25" thickBot="1">
      <c r="A66" s="1849" t="s">
        <v>924</v>
      </c>
      <c r="B66" s="1853" t="s">
        <v>1249</v>
      </c>
      <c r="C66" s="1854">
        <v>9.6000000000000002E-2</v>
      </c>
      <c r="D66" s="1854">
        <v>9.1999999999999998E-2</v>
      </c>
      <c r="E66" s="1854">
        <v>9.6000000000000002E-2</v>
      </c>
      <c r="F66" s="1862"/>
    </row>
    <row r="67" spans="1:6" ht="14.25" thickBot="1">
      <c r="A67" s="1849" t="s">
        <v>924</v>
      </c>
      <c r="B67" s="1853" t="s">
        <v>1259</v>
      </c>
      <c r="C67" s="1854">
        <v>9.4E-2</v>
      </c>
      <c r="D67" s="1854">
        <v>0.1</v>
      </c>
      <c r="E67" s="1854">
        <v>8.7999999999999995E-2</v>
      </c>
      <c r="F67" s="1862"/>
    </row>
    <row r="68" spans="1:6" ht="14.25" thickBot="1">
      <c r="A68" s="1849" t="s">
        <v>924</v>
      </c>
      <c r="B68" s="1853" t="s">
        <v>1268</v>
      </c>
      <c r="C68" s="1854">
        <v>0.1</v>
      </c>
      <c r="D68" s="1854">
        <v>8.7999999999999995E-2</v>
      </c>
      <c r="E68" s="1854">
        <v>9.7000000000000003E-2</v>
      </c>
      <c r="F68" s="1862"/>
    </row>
    <row r="69" spans="1:6" ht="14.25" thickBot="1">
      <c r="A69" s="1849" t="s">
        <v>924</v>
      </c>
      <c r="B69" s="1853" t="s">
        <v>1277</v>
      </c>
      <c r="C69" s="1854">
        <v>6.4000000000000001E-2</v>
      </c>
      <c r="D69" s="1854">
        <v>0.1</v>
      </c>
      <c r="E69" s="1854">
        <v>0.1</v>
      </c>
      <c r="F69" s="1862"/>
    </row>
    <row r="70" spans="1:6" ht="14.25" thickBot="1">
      <c r="A70" s="1849" t="s">
        <v>924</v>
      </c>
      <c r="B70" s="1853" t="s">
        <v>1285</v>
      </c>
      <c r="C70" s="1854">
        <v>9.0999999999999998E-2</v>
      </c>
      <c r="D70" s="1863"/>
      <c r="E70" s="1863"/>
      <c r="F70" s="1862"/>
    </row>
    <row r="71" spans="1:6" ht="14.25" thickBot="1">
      <c r="A71" s="1849" t="s">
        <v>924</v>
      </c>
      <c r="B71" s="1853" t="s">
        <v>1292</v>
      </c>
      <c r="C71" s="1854">
        <v>0.1</v>
      </c>
      <c r="D71" s="1863"/>
      <c r="E71" s="1863"/>
      <c r="F71" s="1862"/>
    </row>
    <row r="72" spans="1:6" ht="14.25" thickBot="1">
      <c r="A72" s="1849" t="s">
        <v>924</v>
      </c>
      <c r="B72" s="1853" t="s">
        <v>2093</v>
      </c>
      <c r="C72" s="1863"/>
      <c r="D72" s="1863"/>
      <c r="E72" s="1863"/>
      <c r="F72" s="1855">
        <v>0.05</v>
      </c>
    </row>
    <row r="73" spans="1:6" ht="14.25" thickBot="1">
      <c r="A73" s="1849" t="s">
        <v>924</v>
      </c>
      <c r="B73" s="1853" t="s">
        <v>2094</v>
      </c>
      <c r="C73" s="1863"/>
      <c r="D73" s="1863"/>
      <c r="E73" s="1863"/>
      <c r="F73" s="1855">
        <v>0.05</v>
      </c>
    </row>
    <row r="74" spans="1:6" ht="14.25" thickBot="1">
      <c r="A74" s="1849" t="s">
        <v>924</v>
      </c>
      <c r="B74" s="1853" t="s">
        <v>2095</v>
      </c>
      <c r="C74" s="1863"/>
      <c r="D74" s="1863"/>
      <c r="E74" s="1863"/>
      <c r="F74" s="1855">
        <v>0.05</v>
      </c>
    </row>
    <row r="75" spans="1:6" ht="14.25" thickBot="1">
      <c r="A75" s="1857" t="s">
        <v>924</v>
      </c>
      <c r="B75" s="1864" t="s">
        <v>2096</v>
      </c>
      <c r="C75" s="1860"/>
      <c r="D75" s="1860"/>
      <c r="E75" s="1860"/>
      <c r="F75" s="1865">
        <v>0.05</v>
      </c>
    </row>
    <row r="76" spans="1:6" ht="14.25" thickBot="1">
      <c r="A76" s="1849" t="s">
        <v>1407</v>
      </c>
      <c r="B76" s="1850" t="s">
        <v>2097</v>
      </c>
      <c r="C76" s="1851">
        <v>0.1</v>
      </c>
      <c r="D76" s="1851">
        <v>0.1</v>
      </c>
      <c r="E76" s="1851">
        <v>0.1</v>
      </c>
      <c r="F76" s="1852">
        <v>0.1</v>
      </c>
    </row>
    <row r="77" spans="1:6" ht="14.25" thickBot="1">
      <c r="A77" s="1849" t="s">
        <v>1407</v>
      </c>
      <c r="B77" s="1853" t="s">
        <v>1074</v>
      </c>
      <c r="C77" s="1854">
        <v>8.7999999999999995E-2</v>
      </c>
      <c r="D77" s="1854">
        <v>8.6999999999999994E-2</v>
      </c>
      <c r="E77" s="1854">
        <v>7.9000000000000001E-2</v>
      </c>
      <c r="F77" s="1855">
        <v>0.1</v>
      </c>
    </row>
    <row r="78" spans="1:6" ht="14.25" thickBot="1">
      <c r="A78" s="1849" t="s">
        <v>1407</v>
      </c>
      <c r="B78" s="1853" t="s">
        <v>1088</v>
      </c>
      <c r="C78" s="1854">
        <v>8.6999999999999994E-2</v>
      </c>
      <c r="D78" s="1854">
        <v>8.4000000000000005E-2</v>
      </c>
      <c r="E78" s="1854">
        <v>9.6000000000000002E-2</v>
      </c>
      <c r="F78" s="1855">
        <v>0.1</v>
      </c>
    </row>
    <row r="79" spans="1:6" ht="14.25" thickBot="1">
      <c r="A79" s="1849" t="s">
        <v>1407</v>
      </c>
      <c r="B79" s="1853" t="s">
        <v>1101</v>
      </c>
      <c r="C79" s="1854">
        <v>9.8000000000000004E-2</v>
      </c>
      <c r="D79" s="1854">
        <v>9.8000000000000004E-2</v>
      </c>
      <c r="E79" s="1854">
        <v>9.0999999999999998E-2</v>
      </c>
      <c r="F79" s="1855">
        <v>0.1</v>
      </c>
    </row>
    <row r="80" spans="1:6" ht="14.25" thickBot="1">
      <c r="A80" s="1849" t="s">
        <v>1407</v>
      </c>
      <c r="B80" s="1853" t="s">
        <v>1115</v>
      </c>
      <c r="C80" s="1854">
        <v>9.6000000000000002E-2</v>
      </c>
      <c r="D80" s="1854">
        <v>9.6000000000000002E-2</v>
      </c>
      <c r="E80" s="1854">
        <v>0.1</v>
      </c>
      <c r="F80" s="1855">
        <v>0.1</v>
      </c>
    </row>
    <row r="81" spans="1:6" ht="14.25" thickBot="1">
      <c r="A81" s="1849" t="s">
        <v>1407</v>
      </c>
      <c r="B81" s="1853" t="s">
        <v>1126</v>
      </c>
      <c r="C81" s="1854">
        <v>9.9000000000000005E-2</v>
      </c>
      <c r="D81" s="1854">
        <v>9.9000000000000005E-2</v>
      </c>
      <c r="E81" s="1854">
        <v>9.8000000000000004E-2</v>
      </c>
      <c r="F81" s="1855">
        <v>0.1</v>
      </c>
    </row>
    <row r="82" spans="1:6" ht="14.25" thickBot="1">
      <c r="A82" s="1849" t="s">
        <v>1407</v>
      </c>
      <c r="B82" s="1853" t="s">
        <v>1137</v>
      </c>
      <c r="C82" s="1854">
        <v>9.9000000000000005E-2</v>
      </c>
      <c r="D82" s="1854">
        <v>9.9000000000000005E-2</v>
      </c>
      <c r="E82" s="1854">
        <v>9.7000000000000003E-2</v>
      </c>
      <c r="F82" s="1855">
        <v>0.1</v>
      </c>
    </row>
    <row r="83" spans="1:6" ht="14.25" thickBot="1">
      <c r="A83" s="1849" t="s">
        <v>1407</v>
      </c>
      <c r="B83" s="1853" t="s">
        <v>1148</v>
      </c>
      <c r="C83" s="1854">
        <v>9.8000000000000004E-2</v>
      </c>
      <c r="D83" s="1854">
        <v>9.8000000000000004E-2</v>
      </c>
      <c r="E83" s="1854">
        <v>9.8000000000000004E-2</v>
      </c>
      <c r="F83" s="1855">
        <v>0.1</v>
      </c>
    </row>
    <row r="84" spans="1:6" ht="14.25" thickBot="1">
      <c r="A84" s="1849" t="s">
        <v>1407</v>
      </c>
      <c r="B84" s="1853" t="s">
        <v>1160</v>
      </c>
      <c r="C84" s="1854">
        <v>9.9000000000000005E-2</v>
      </c>
      <c r="D84" s="1854">
        <v>9.9000000000000005E-2</v>
      </c>
      <c r="E84" s="1854">
        <v>9.9000000000000005E-2</v>
      </c>
      <c r="F84" s="1855">
        <v>0.1</v>
      </c>
    </row>
    <row r="85" spans="1:6" ht="14.25" thickBot="1">
      <c r="A85" s="1849" t="s">
        <v>1407</v>
      </c>
      <c r="B85" s="1853" t="s">
        <v>1170</v>
      </c>
      <c r="C85" s="1854">
        <v>9.9000000000000005E-2</v>
      </c>
      <c r="D85" s="1854">
        <v>9.9000000000000005E-2</v>
      </c>
      <c r="E85" s="1854">
        <v>9.9000000000000005E-2</v>
      </c>
      <c r="F85" s="1855">
        <v>0.1</v>
      </c>
    </row>
    <row r="86" spans="1:6" ht="14.25" thickBot="1">
      <c r="A86" s="1849" t="s">
        <v>1407</v>
      </c>
      <c r="B86" s="1853" t="s">
        <v>1180</v>
      </c>
      <c r="C86" s="1854">
        <v>0.1</v>
      </c>
      <c r="D86" s="1854">
        <v>0.1</v>
      </c>
      <c r="E86" s="1854">
        <v>7.6999999999999999E-2</v>
      </c>
      <c r="F86" s="1855">
        <v>0.1</v>
      </c>
    </row>
    <row r="87" spans="1:6" ht="14.25" thickBot="1">
      <c r="A87" s="1849" t="s">
        <v>1407</v>
      </c>
      <c r="B87" s="1853" t="s">
        <v>1190</v>
      </c>
      <c r="C87" s="1854">
        <v>0.1</v>
      </c>
      <c r="D87" s="1854">
        <v>0.1</v>
      </c>
      <c r="E87" s="1854">
        <v>9.8000000000000004E-2</v>
      </c>
      <c r="F87" s="1862"/>
    </row>
    <row r="88" spans="1:6" ht="14.25" thickBot="1">
      <c r="A88" s="1849" t="s">
        <v>1407</v>
      </c>
      <c r="B88" s="1853" t="s">
        <v>1200</v>
      </c>
      <c r="C88" s="1854">
        <v>9.1999999999999998E-2</v>
      </c>
      <c r="D88" s="1854">
        <v>8.5000000000000006E-2</v>
      </c>
      <c r="E88" s="1854">
        <v>9.6000000000000002E-2</v>
      </c>
      <c r="F88" s="1862"/>
    </row>
    <row r="89" spans="1:6" ht="14.25" thickBot="1">
      <c r="A89" s="1849" t="s">
        <v>1407</v>
      </c>
      <c r="B89" s="1853" t="s">
        <v>1210</v>
      </c>
      <c r="C89" s="1854">
        <v>0.1</v>
      </c>
      <c r="D89" s="1854">
        <v>0.1</v>
      </c>
      <c r="E89" s="1854">
        <v>9.7000000000000003E-2</v>
      </c>
      <c r="F89" s="1862"/>
    </row>
    <row r="90" spans="1:6" ht="14.25" thickBot="1">
      <c r="A90" s="1849" t="s">
        <v>1407</v>
      </c>
      <c r="B90" s="1853" t="s">
        <v>1220</v>
      </c>
      <c r="C90" s="1854">
        <v>9.8000000000000004E-2</v>
      </c>
      <c r="D90" s="1854">
        <v>9.8000000000000004E-2</v>
      </c>
      <c r="E90" s="1854">
        <v>8.7999999999999995E-2</v>
      </c>
      <c r="F90" s="1862"/>
    </row>
    <row r="91" spans="1:6" ht="14.25" thickBot="1">
      <c r="A91" s="1849" t="s">
        <v>1407</v>
      </c>
      <c r="B91" s="1853" t="s">
        <v>1230</v>
      </c>
      <c r="C91" s="1854">
        <v>9.9000000000000005E-2</v>
      </c>
      <c r="D91" s="1854">
        <v>9.9000000000000005E-2</v>
      </c>
      <c r="E91" s="1854">
        <v>9.0999999999999998E-2</v>
      </c>
      <c r="F91" s="1862"/>
    </row>
    <row r="92" spans="1:6" ht="14.25" thickBot="1">
      <c r="A92" s="1849" t="s">
        <v>1407</v>
      </c>
      <c r="B92" s="1853" t="s">
        <v>1240</v>
      </c>
      <c r="C92" s="1854">
        <v>9.6000000000000002E-2</v>
      </c>
      <c r="D92" s="1854">
        <v>9.6000000000000002E-2</v>
      </c>
      <c r="E92" s="1854">
        <v>7.2999999999999995E-2</v>
      </c>
      <c r="F92" s="1862"/>
    </row>
    <row r="93" spans="1:6" ht="14.25" thickBot="1">
      <c r="A93" s="1849" t="s">
        <v>1407</v>
      </c>
      <c r="B93" s="1853" t="s">
        <v>1250</v>
      </c>
      <c r="C93" s="1854">
        <v>9.6000000000000002E-2</v>
      </c>
      <c r="D93" s="1854">
        <v>9.6000000000000002E-2</v>
      </c>
      <c r="E93" s="1854">
        <v>9.9000000000000005E-2</v>
      </c>
      <c r="F93" s="1862"/>
    </row>
    <row r="94" spans="1:6" ht="14.25" thickBot="1">
      <c r="A94" s="1849" t="s">
        <v>1407</v>
      </c>
      <c r="B94" s="1853" t="s">
        <v>1260</v>
      </c>
      <c r="C94" s="1854">
        <v>7.5999999999999998E-2</v>
      </c>
      <c r="D94" s="1854">
        <v>7.3999999999999996E-2</v>
      </c>
      <c r="E94" s="1854">
        <v>9.7000000000000003E-2</v>
      </c>
      <c r="F94" s="1862"/>
    </row>
    <row r="95" spans="1:6" ht="14.25" thickBot="1">
      <c r="A95" s="1849" t="s">
        <v>1407</v>
      </c>
      <c r="B95" s="1853" t="s">
        <v>1269</v>
      </c>
      <c r="C95" s="1854">
        <v>9.9000000000000005E-2</v>
      </c>
      <c r="D95" s="1854">
        <v>9.4E-2</v>
      </c>
      <c r="E95" s="1854">
        <v>9.6000000000000002E-2</v>
      </c>
      <c r="F95" s="1862"/>
    </row>
    <row r="96" spans="1:6" ht="14.25" thickBot="1">
      <c r="A96" s="1849" t="s">
        <v>1407</v>
      </c>
      <c r="B96" s="1853" t="s">
        <v>1278</v>
      </c>
      <c r="C96" s="1854">
        <v>9.9000000000000005E-2</v>
      </c>
      <c r="D96" s="1854">
        <v>9.9000000000000005E-2</v>
      </c>
      <c r="E96" s="1854">
        <v>9.9000000000000005E-2</v>
      </c>
      <c r="F96" s="1862"/>
    </row>
    <row r="97" spans="1:6" ht="14.25" thickBot="1">
      <c r="A97" s="1849" t="s">
        <v>1407</v>
      </c>
      <c r="B97" s="1853" t="s">
        <v>1286</v>
      </c>
      <c r="C97" s="1854">
        <v>9.8000000000000004E-2</v>
      </c>
      <c r="D97" s="1854">
        <v>9.8000000000000004E-2</v>
      </c>
      <c r="E97" s="1854">
        <v>9.7000000000000003E-2</v>
      </c>
      <c r="F97" s="1862"/>
    </row>
    <row r="98" spans="1:6" ht="14.25" thickBot="1">
      <c r="A98" s="1849" t="s">
        <v>1407</v>
      </c>
      <c r="B98" s="1853" t="s">
        <v>1293</v>
      </c>
      <c r="C98" s="1854">
        <v>0.1</v>
      </c>
      <c r="D98" s="1854">
        <v>0.1</v>
      </c>
      <c r="E98" s="1854">
        <v>9.7000000000000003E-2</v>
      </c>
      <c r="F98" s="1862"/>
    </row>
    <row r="99" spans="1:6" ht="14.25" thickBot="1">
      <c r="A99" s="1849" t="s">
        <v>1407</v>
      </c>
      <c r="B99" s="1853" t="s">
        <v>1300</v>
      </c>
      <c r="C99" s="1854">
        <v>0.1</v>
      </c>
      <c r="D99" s="1854">
        <v>0.1</v>
      </c>
      <c r="E99" s="1863"/>
      <c r="F99" s="1862"/>
    </row>
    <row r="100" spans="1:6" ht="14.25" thickBot="1">
      <c r="A100" s="1849" t="s">
        <v>1407</v>
      </c>
      <c r="B100" s="1853" t="s">
        <v>1307</v>
      </c>
      <c r="C100" s="1854">
        <v>0.09</v>
      </c>
      <c r="D100" s="1854">
        <v>8.8999999999999996E-2</v>
      </c>
      <c r="E100" s="1863"/>
      <c r="F100" s="1862"/>
    </row>
    <row r="101" spans="1:6" ht="14.25" thickBot="1">
      <c r="A101" s="1849" t="s">
        <v>1407</v>
      </c>
      <c r="B101" s="1853" t="s">
        <v>1314</v>
      </c>
      <c r="C101" s="1854">
        <v>9.8000000000000004E-2</v>
      </c>
      <c r="D101" s="1854">
        <v>9.7000000000000003E-2</v>
      </c>
      <c r="E101" s="1863"/>
      <c r="F101" s="1862"/>
    </row>
    <row r="102" spans="1:6" ht="14.25" thickBot="1">
      <c r="A102" s="1849" t="s">
        <v>1407</v>
      </c>
      <c r="B102" s="1853" t="s">
        <v>2098</v>
      </c>
      <c r="C102" s="1863"/>
      <c r="D102" s="1863"/>
      <c r="E102" s="1863"/>
      <c r="F102" s="1855">
        <v>0.05</v>
      </c>
    </row>
    <row r="103" spans="1:6" ht="24.75" thickBot="1">
      <c r="A103" s="1849" t="s">
        <v>1407</v>
      </c>
      <c r="B103" s="1853" t="s">
        <v>2099</v>
      </c>
      <c r="C103" s="1863"/>
      <c r="D103" s="1863"/>
      <c r="E103" s="1863"/>
      <c r="F103" s="1855">
        <v>0.05</v>
      </c>
    </row>
    <row r="104" spans="1:6" ht="14.25" thickBot="1">
      <c r="A104" s="1849" t="s">
        <v>1407</v>
      </c>
      <c r="B104" s="1853" t="s">
        <v>2100</v>
      </c>
      <c r="C104" s="1863"/>
      <c r="D104" s="1863"/>
      <c r="E104" s="1863"/>
      <c r="F104" s="1855">
        <v>0.05</v>
      </c>
    </row>
    <row r="105" spans="1:6" ht="14.25" thickBot="1">
      <c r="A105" s="1849" t="s">
        <v>1407</v>
      </c>
      <c r="B105" s="1853" t="s">
        <v>2101</v>
      </c>
      <c r="C105" s="1863"/>
      <c r="D105" s="1863"/>
      <c r="E105" s="1863"/>
      <c r="F105" s="1855">
        <v>0.05</v>
      </c>
    </row>
    <row r="106" spans="1:6" ht="14.25" thickBot="1">
      <c r="A106" s="1849" t="s">
        <v>1407</v>
      </c>
      <c r="B106" s="1853" t="s">
        <v>2102</v>
      </c>
      <c r="C106" s="1863"/>
      <c r="D106" s="1863"/>
      <c r="E106" s="1863"/>
      <c r="F106" s="1855">
        <v>0.05</v>
      </c>
    </row>
    <row r="107" spans="1:6" ht="24.75" thickBot="1">
      <c r="A107" s="1849" t="s">
        <v>1407</v>
      </c>
      <c r="B107" s="1853" t="s">
        <v>2103</v>
      </c>
      <c r="C107" s="1863"/>
      <c r="D107" s="1863"/>
      <c r="E107" s="1863"/>
      <c r="F107" s="1855">
        <v>0.05</v>
      </c>
    </row>
    <row r="108" spans="1:6" ht="24.75" thickBot="1">
      <c r="A108" s="1849" t="s">
        <v>1407</v>
      </c>
      <c r="B108" s="1853" t="s">
        <v>2104</v>
      </c>
      <c r="C108" s="1863"/>
      <c r="D108" s="1863"/>
      <c r="E108" s="1863"/>
      <c r="F108" s="1855">
        <v>0.05</v>
      </c>
    </row>
    <row r="109" spans="1:6" ht="24.75" thickBot="1">
      <c r="A109" s="1857" t="s">
        <v>1407</v>
      </c>
      <c r="B109" s="1864" t="s">
        <v>2105</v>
      </c>
      <c r="C109" s="1860"/>
      <c r="D109" s="1860"/>
      <c r="E109" s="1860"/>
      <c r="F109" s="1865">
        <v>0.05</v>
      </c>
    </row>
    <row r="110" spans="1:6" ht="14.25" thickBot="1">
      <c r="A110" s="1849" t="s">
        <v>1409</v>
      </c>
      <c r="B110" s="1850" t="s">
        <v>2106</v>
      </c>
      <c r="C110" s="1851">
        <v>0.129</v>
      </c>
      <c r="D110" s="1851">
        <v>0.129</v>
      </c>
      <c r="E110" s="1851">
        <v>0.126</v>
      </c>
      <c r="F110" s="1852">
        <v>0.13</v>
      </c>
    </row>
    <row r="111" spans="1:6" ht="14.25" thickBot="1">
      <c r="A111" s="1849" t="s">
        <v>1409</v>
      </c>
      <c r="B111" s="1853" t="s">
        <v>1075</v>
      </c>
      <c r="C111" s="1854">
        <v>0.11</v>
      </c>
      <c r="D111" s="1854">
        <v>0.11</v>
      </c>
      <c r="E111" s="1854">
        <v>9.9000000000000005E-2</v>
      </c>
      <c r="F111" s="1855">
        <v>0.128</v>
      </c>
    </row>
    <row r="112" spans="1:6" ht="14.25" thickBot="1">
      <c r="A112" s="1849" t="s">
        <v>1409</v>
      </c>
      <c r="B112" s="1853" t="s">
        <v>1089</v>
      </c>
      <c r="C112" s="1854">
        <v>0.125</v>
      </c>
      <c r="D112" s="1854">
        <v>0.125</v>
      </c>
      <c r="E112" s="1854">
        <v>0.12</v>
      </c>
      <c r="F112" s="1855">
        <v>0.125</v>
      </c>
    </row>
    <row r="113" spans="1:6" ht="14.25" thickBot="1">
      <c r="A113" s="1849" t="s">
        <v>1409</v>
      </c>
      <c r="B113" s="1853" t="s">
        <v>1102</v>
      </c>
      <c r="C113" s="1854">
        <v>0.13</v>
      </c>
      <c r="D113" s="1854">
        <v>0.13</v>
      </c>
      <c r="E113" s="1854">
        <v>0.13</v>
      </c>
      <c r="F113" s="1855">
        <v>0.13</v>
      </c>
    </row>
    <row r="114" spans="1:6" ht="14.25" thickBot="1">
      <c r="A114" s="1849" t="s">
        <v>1409</v>
      </c>
      <c r="B114" s="1853" t="s">
        <v>1116</v>
      </c>
      <c r="C114" s="1854">
        <v>0.123</v>
      </c>
      <c r="D114" s="1854">
        <v>0.123</v>
      </c>
      <c r="E114" s="1854">
        <v>0.12</v>
      </c>
      <c r="F114" s="1855">
        <v>0.13</v>
      </c>
    </row>
    <row r="115" spans="1:6" ht="14.25" thickBot="1">
      <c r="A115" s="1849" t="s">
        <v>1409</v>
      </c>
      <c r="B115" s="1853" t="s">
        <v>1127</v>
      </c>
      <c r="C115" s="1854">
        <v>0.125</v>
      </c>
      <c r="D115" s="1854">
        <v>0.125</v>
      </c>
      <c r="E115" s="1854">
        <v>0.11700000000000001</v>
      </c>
      <c r="F115" s="1855">
        <v>0.13</v>
      </c>
    </row>
    <row r="116" spans="1:6" ht="14.25" thickBot="1">
      <c r="A116" s="1849" t="s">
        <v>1409</v>
      </c>
      <c r="B116" s="1853" t="s">
        <v>1138</v>
      </c>
      <c r="C116" s="1854">
        <v>0.11700000000000001</v>
      </c>
      <c r="D116" s="1854">
        <v>0.11700000000000001</v>
      </c>
      <c r="E116" s="1854">
        <v>8.7999999999999995E-2</v>
      </c>
      <c r="F116" s="1855">
        <v>0.13</v>
      </c>
    </row>
    <row r="117" spans="1:6" ht="14.25" thickBot="1">
      <c r="A117" s="1849" t="s">
        <v>1409</v>
      </c>
      <c r="B117" s="1853" t="s">
        <v>1149</v>
      </c>
      <c r="C117" s="1854">
        <v>0.13</v>
      </c>
      <c r="D117" s="1854">
        <v>0.13</v>
      </c>
      <c r="E117" s="1854">
        <v>0.129</v>
      </c>
      <c r="F117" s="1855">
        <v>0.13</v>
      </c>
    </row>
    <row r="118" spans="1:6" ht="14.25" thickBot="1">
      <c r="A118" s="1849" t="s">
        <v>1409</v>
      </c>
      <c r="B118" s="1853" t="s">
        <v>1161</v>
      </c>
      <c r="C118" s="1854">
        <v>0.123</v>
      </c>
      <c r="D118" s="1854">
        <v>0.123</v>
      </c>
      <c r="E118" s="1854">
        <v>0.11600000000000001</v>
      </c>
      <c r="F118" s="1855">
        <v>0.13</v>
      </c>
    </row>
    <row r="119" spans="1:6" ht="14.25" thickBot="1">
      <c r="A119" s="1849" t="s">
        <v>1409</v>
      </c>
      <c r="B119" s="1853" t="s">
        <v>1171</v>
      </c>
      <c r="C119" s="1854">
        <v>0.127</v>
      </c>
      <c r="D119" s="1854">
        <v>0.127</v>
      </c>
      <c r="E119" s="1854">
        <v>0.124</v>
      </c>
      <c r="F119" s="1855">
        <v>0.13</v>
      </c>
    </row>
    <row r="120" spans="1:6" ht="14.25" thickBot="1">
      <c r="A120" s="1849" t="s">
        <v>1409</v>
      </c>
      <c r="B120" s="1853" t="s">
        <v>1181</v>
      </c>
      <c r="C120" s="1854">
        <v>0.125</v>
      </c>
      <c r="D120" s="1854">
        <v>0.125</v>
      </c>
      <c r="E120" s="1854">
        <v>0.122</v>
      </c>
      <c r="F120" s="1855">
        <v>0.13</v>
      </c>
    </row>
    <row r="121" spans="1:6" ht="14.25" thickBot="1">
      <c r="A121" s="1849" t="s">
        <v>1409</v>
      </c>
      <c r="B121" s="1853" t="s">
        <v>1191</v>
      </c>
      <c r="C121" s="1854">
        <v>0.13</v>
      </c>
      <c r="D121" s="1854">
        <v>0.13</v>
      </c>
      <c r="E121" s="1854">
        <v>0.13</v>
      </c>
      <c r="F121" s="1855">
        <v>0.13</v>
      </c>
    </row>
    <row r="122" spans="1:6" ht="14.25" thickBot="1">
      <c r="A122" s="1849" t="s">
        <v>1409</v>
      </c>
      <c r="B122" s="1853" t="s">
        <v>1201</v>
      </c>
      <c r="C122" s="1854">
        <v>0.13</v>
      </c>
      <c r="D122" s="1854">
        <v>0.13</v>
      </c>
      <c r="E122" s="1854">
        <v>0.125</v>
      </c>
      <c r="F122" s="1855">
        <v>0.13</v>
      </c>
    </row>
    <row r="123" spans="1:6" ht="14.25" thickBot="1">
      <c r="A123" s="1849" t="s">
        <v>1409</v>
      </c>
      <c r="B123" s="1853" t="s">
        <v>1211</v>
      </c>
      <c r="C123" s="1854">
        <v>0.129</v>
      </c>
      <c r="D123" s="1854">
        <v>0.129</v>
      </c>
      <c r="E123" s="1854">
        <v>0.123</v>
      </c>
      <c r="F123" s="1855">
        <v>0.13</v>
      </c>
    </row>
    <row r="124" spans="1:6" ht="14.25" thickBot="1">
      <c r="A124" s="1849" t="s">
        <v>1409</v>
      </c>
      <c r="B124" s="1853" t="s">
        <v>1221</v>
      </c>
      <c r="C124" s="1854">
        <v>0.10199999999999999</v>
      </c>
      <c r="D124" s="1854">
        <v>0.10100000000000001</v>
      </c>
      <c r="E124" s="1854">
        <v>0.08</v>
      </c>
      <c r="F124" s="1862"/>
    </row>
    <row r="125" spans="1:6" ht="14.25" thickBot="1">
      <c r="A125" s="1849" t="s">
        <v>1409</v>
      </c>
      <c r="B125" s="1853" t="s">
        <v>1231</v>
      </c>
      <c r="C125" s="1854">
        <v>0.13</v>
      </c>
      <c r="D125" s="1854">
        <v>0.13</v>
      </c>
      <c r="E125" s="1854">
        <v>0.129</v>
      </c>
      <c r="F125" s="1862"/>
    </row>
    <row r="126" spans="1:6" ht="14.25" thickBot="1">
      <c r="A126" s="1849" t="s">
        <v>1409</v>
      </c>
      <c r="B126" s="1853" t="s">
        <v>1241</v>
      </c>
      <c r="C126" s="1854">
        <v>0.13</v>
      </c>
      <c r="D126" s="1854">
        <v>0.13</v>
      </c>
      <c r="E126" s="1854">
        <v>0.126</v>
      </c>
      <c r="F126" s="1862"/>
    </row>
    <row r="127" spans="1:6" ht="14.25" thickBot="1">
      <c r="A127" s="1849" t="s">
        <v>1409</v>
      </c>
      <c r="B127" s="1853" t="s">
        <v>1251</v>
      </c>
      <c r="C127" s="1854">
        <v>0.125</v>
      </c>
      <c r="D127" s="1854">
        <v>0.125</v>
      </c>
      <c r="E127" s="1854">
        <v>0.121</v>
      </c>
      <c r="F127" s="1862"/>
    </row>
    <row r="128" spans="1:6" ht="14.25" thickBot="1">
      <c r="A128" s="1849" t="s">
        <v>1409</v>
      </c>
      <c r="B128" s="1853" t="s">
        <v>1261</v>
      </c>
      <c r="C128" s="1854">
        <v>0.12</v>
      </c>
      <c r="D128" s="1854">
        <v>0.12</v>
      </c>
      <c r="E128" s="1854">
        <v>0.105</v>
      </c>
      <c r="F128" s="1862"/>
    </row>
    <row r="129" spans="1:6" ht="14.25" thickBot="1">
      <c r="A129" s="1849" t="s">
        <v>1409</v>
      </c>
      <c r="B129" s="1853" t="s">
        <v>1270</v>
      </c>
      <c r="C129" s="1854">
        <v>0.13</v>
      </c>
      <c r="D129" s="1854">
        <v>0.13</v>
      </c>
      <c r="E129" s="1854">
        <v>0.126</v>
      </c>
      <c r="F129" s="1862"/>
    </row>
    <row r="130" spans="1:6" ht="14.25" thickBot="1">
      <c r="A130" s="1849" t="s">
        <v>1409</v>
      </c>
      <c r="B130" s="1853" t="s">
        <v>1279</v>
      </c>
      <c r="C130" s="1854">
        <v>0.125</v>
      </c>
      <c r="D130" s="1854">
        <v>0.125</v>
      </c>
      <c r="E130" s="1854">
        <v>0.122</v>
      </c>
      <c r="F130" s="1862"/>
    </row>
    <row r="131" spans="1:6" ht="14.25" thickBot="1">
      <c r="A131" s="1849" t="s">
        <v>1409</v>
      </c>
      <c r="B131" s="1853" t="s">
        <v>1287</v>
      </c>
      <c r="C131" s="1854">
        <v>0.127</v>
      </c>
      <c r="D131" s="1854">
        <v>0.126</v>
      </c>
      <c r="E131" s="1854">
        <v>0.123</v>
      </c>
      <c r="F131" s="1862"/>
    </row>
    <row r="132" spans="1:6" ht="14.25" thickBot="1">
      <c r="A132" s="1849" t="s">
        <v>1409</v>
      </c>
      <c r="B132" s="1853" t="s">
        <v>1294</v>
      </c>
      <c r="C132" s="1854">
        <v>9.0999999999999998E-2</v>
      </c>
      <c r="D132" s="1854">
        <v>0.121</v>
      </c>
      <c r="E132" s="1854">
        <v>9.9000000000000005E-2</v>
      </c>
      <c r="F132" s="1862"/>
    </row>
    <row r="133" spans="1:6" ht="14.25" thickBot="1">
      <c r="A133" s="1849" t="s">
        <v>1409</v>
      </c>
      <c r="B133" s="1853" t="s">
        <v>1301</v>
      </c>
      <c r="C133" s="1854">
        <v>0.13</v>
      </c>
      <c r="D133" s="1854">
        <v>0.13</v>
      </c>
      <c r="E133" s="1854">
        <v>0.129</v>
      </c>
      <c r="F133" s="1862"/>
    </row>
    <row r="134" spans="1:6" ht="14.25" thickBot="1">
      <c r="A134" s="1849" t="s">
        <v>1409</v>
      </c>
      <c r="B134" s="1853" t="s">
        <v>2107</v>
      </c>
      <c r="C134" s="1854">
        <v>6.8000000000000005E-2</v>
      </c>
      <c r="D134" s="1854">
        <v>6.5000000000000002E-2</v>
      </c>
      <c r="E134" s="1854">
        <v>6.5000000000000002E-2</v>
      </c>
      <c r="F134" s="1855">
        <v>0.13</v>
      </c>
    </row>
    <row r="135" spans="1:6" ht="14.25" thickBot="1">
      <c r="A135" s="1849" t="s">
        <v>1409</v>
      </c>
      <c r="B135" s="1853" t="s">
        <v>1315</v>
      </c>
      <c r="C135" s="1854">
        <v>0.123</v>
      </c>
      <c r="D135" s="1854">
        <v>0.123</v>
      </c>
      <c r="E135" s="1854">
        <v>0.11</v>
      </c>
      <c r="F135" s="1862"/>
    </row>
    <row r="136" spans="1:6" ht="14.25" thickBot="1">
      <c r="A136" s="1849" t="s">
        <v>1409</v>
      </c>
      <c r="B136" s="1853" t="s">
        <v>1322</v>
      </c>
      <c r="C136" s="1854">
        <v>0.13</v>
      </c>
      <c r="D136" s="1854">
        <v>0.13</v>
      </c>
      <c r="E136" s="1854">
        <v>0.125</v>
      </c>
      <c r="F136" s="1862"/>
    </row>
    <row r="137" spans="1:6" ht="14.25" thickBot="1">
      <c r="A137" s="1849" t="s">
        <v>1409</v>
      </c>
      <c r="B137" s="1853" t="s">
        <v>1329</v>
      </c>
      <c r="C137" s="1854">
        <v>0.121</v>
      </c>
      <c r="D137" s="1854">
        <v>0.122</v>
      </c>
      <c r="E137" s="1854">
        <v>0.115</v>
      </c>
      <c r="F137" s="1862"/>
    </row>
    <row r="138" spans="1:6" ht="14.25" thickBot="1">
      <c r="A138" s="1849" t="s">
        <v>1409</v>
      </c>
      <c r="B138" s="1853" t="s">
        <v>2108</v>
      </c>
      <c r="C138" s="1854">
        <v>0.105</v>
      </c>
      <c r="D138" s="1854">
        <v>0.125</v>
      </c>
      <c r="E138" s="1854">
        <v>0.112</v>
      </c>
      <c r="F138" s="1862"/>
    </row>
    <row r="139" spans="1:6" ht="14.25" thickBot="1">
      <c r="A139" s="1849" t="s">
        <v>1409</v>
      </c>
      <c r="B139" s="1853" t="s">
        <v>2109</v>
      </c>
      <c r="C139" s="1854">
        <v>0.127</v>
      </c>
      <c r="D139" s="1854">
        <v>0.127</v>
      </c>
      <c r="E139" s="1854">
        <v>0.122</v>
      </c>
      <c r="F139" s="1855">
        <v>0.13</v>
      </c>
    </row>
    <row r="140" spans="1:6" ht="14.25" thickBot="1">
      <c r="A140" s="1849" t="s">
        <v>1409</v>
      </c>
      <c r="B140" s="1853" t="s">
        <v>2110</v>
      </c>
      <c r="C140" s="1854">
        <v>0.125</v>
      </c>
      <c r="D140" s="1854">
        <v>0.125</v>
      </c>
      <c r="E140" s="1854">
        <v>0.11899999999999999</v>
      </c>
      <c r="F140" s="1855">
        <v>0.13</v>
      </c>
    </row>
    <row r="141" spans="1:6" ht="14.25" thickBot="1">
      <c r="A141" s="1849" t="s">
        <v>1409</v>
      </c>
      <c r="B141" s="1853" t="s">
        <v>1348</v>
      </c>
      <c r="C141" s="1854">
        <v>0.125</v>
      </c>
      <c r="D141" s="1854">
        <v>0.125</v>
      </c>
      <c r="E141" s="1854">
        <v>0.11700000000000001</v>
      </c>
      <c r="F141" s="1862"/>
    </row>
    <row r="142" spans="1:6" ht="14.25" thickBot="1">
      <c r="A142" s="1849" t="s">
        <v>1409</v>
      </c>
      <c r="B142" s="1853" t="s">
        <v>1353</v>
      </c>
      <c r="C142" s="1854">
        <v>0.125</v>
      </c>
      <c r="D142" s="1854">
        <v>0.125</v>
      </c>
      <c r="E142" s="1854">
        <v>0.115</v>
      </c>
      <c r="F142" s="1862"/>
    </row>
    <row r="143" spans="1:6" ht="14.25" thickBot="1">
      <c r="A143" s="1849" t="s">
        <v>1409</v>
      </c>
      <c r="B143" s="1853" t="s">
        <v>1358</v>
      </c>
      <c r="C143" s="1854">
        <v>0.121</v>
      </c>
      <c r="D143" s="1854">
        <v>0.121</v>
      </c>
      <c r="E143" s="1854">
        <v>0.108</v>
      </c>
      <c r="F143" s="1862"/>
    </row>
    <row r="144" spans="1:6" ht="14.25" thickBot="1">
      <c r="A144" s="1849" t="s">
        <v>1409</v>
      </c>
      <c r="B144" s="1866" t="s">
        <v>2111</v>
      </c>
      <c r="C144" s="1867">
        <v>0.126</v>
      </c>
      <c r="D144" s="1867">
        <v>0.126</v>
      </c>
      <c r="E144" s="1867">
        <v>0.121</v>
      </c>
      <c r="F144" s="1862"/>
    </row>
    <row r="145" spans="1:6" ht="14.25" thickBot="1">
      <c r="A145" s="1857" t="s">
        <v>1409</v>
      </c>
      <c r="B145" s="1868" t="s">
        <v>2112</v>
      </c>
      <c r="C145" s="1869"/>
      <c r="D145" s="1869"/>
      <c r="E145" s="1869"/>
      <c r="F145" s="1870">
        <v>0.05</v>
      </c>
    </row>
    <row r="146" spans="1:6" ht="24.75" thickBot="1">
      <c r="A146" s="1871" t="s">
        <v>1409</v>
      </c>
      <c r="B146" s="1856" t="s">
        <v>2113</v>
      </c>
      <c r="C146" s="1863"/>
      <c r="D146" s="1863"/>
      <c r="E146" s="1863"/>
      <c r="F146" s="1872">
        <v>0.05</v>
      </c>
    </row>
    <row r="147" spans="1:6" ht="24.75" thickBot="1">
      <c r="A147" s="1849" t="s">
        <v>1409</v>
      </c>
      <c r="B147" s="1853" t="s">
        <v>2114</v>
      </c>
      <c r="C147" s="1863"/>
      <c r="D147" s="1863"/>
      <c r="E147" s="1863"/>
      <c r="F147" s="1855">
        <v>0.05</v>
      </c>
    </row>
    <row r="148" spans="1:6" ht="24.75" thickBot="1">
      <c r="A148" s="1849" t="s">
        <v>1409</v>
      </c>
      <c r="B148" s="1853" t="s">
        <v>2115</v>
      </c>
      <c r="C148" s="1863"/>
      <c r="D148" s="1863"/>
      <c r="E148" s="1863"/>
      <c r="F148" s="1855">
        <v>0.05</v>
      </c>
    </row>
    <row r="149" spans="1:6" ht="24.75" thickBot="1">
      <c r="A149" s="1849" t="s">
        <v>1409</v>
      </c>
      <c r="B149" s="1853" t="s">
        <v>2116</v>
      </c>
      <c r="C149" s="1863"/>
      <c r="D149" s="1863"/>
      <c r="E149" s="1863"/>
      <c r="F149" s="1855">
        <v>0.05</v>
      </c>
    </row>
    <row r="150" spans="1:6" ht="24.75" thickBot="1">
      <c r="A150" s="1849" t="s">
        <v>1409</v>
      </c>
      <c r="B150" s="1853" t="s">
        <v>2117</v>
      </c>
      <c r="C150" s="1863"/>
      <c r="D150" s="1863"/>
      <c r="E150" s="1863"/>
      <c r="F150" s="1855">
        <v>0.05</v>
      </c>
    </row>
    <row r="151" spans="1:6" ht="24.75" thickBot="1">
      <c r="A151" s="1849" t="s">
        <v>1409</v>
      </c>
      <c r="B151" s="1853" t="s">
        <v>2118</v>
      </c>
      <c r="C151" s="1863"/>
      <c r="D151" s="1863"/>
      <c r="E151" s="1863"/>
      <c r="F151" s="1855">
        <v>0.05</v>
      </c>
    </row>
    <row r="152" spans="1:6" ht="24.75" thickBot="1">
      <c r="A152" s="1849" t="s">
        <v>1409</v>
      </c>
      <c r="B152" s="1853" t="s">
        <v>1391</v>
      </c>
      <c r="C152" s="1863"/>
      <c r="D152" s="1863"/>
      <c r="E152" s="1863"/>
      <c r="F152" s="1855">
        <v>0.05</v>
      </c>
    </row>
    <row r="153" spans="1:6" ht="14.25" thickBot="1">
      <c r="A153" s="1849" t="s">
        <v>1409</v>
      </c>
      <c r="B153" s="1853" t="s">
        <v>2119</v>
      </c>
      <c r="C153" s="1863"/>
      <c r="D153" s="1863"/>
      <c r="E153" s="1863"/>
      <c r="F153" s="1855">
        <v>0.05</v>
      </c>
    </row>
    <row r="154" spans="1:6" ht="14.25" thickBot="1">
      <c r="A154" s="1849" t="s">
        <v>1409</v>
      </c>
      <c r="B154" s="1853" t="s">
        <v>2120</v>
      </c>
      <c r="C154" s="1863"/>
      <c r="D154" s="1863"/>
      <c r="E154" s="1863"/>
      <c r="F154" s="1855">
        <v>0.05</v>
      </c>
    </row>
    <row r="155" spans="1:6" ht="24.75" thickBot="1">
      <c r="A155" s="1849" t="s">
        <v>1409</v>
      </c>
      <c r="B155" s="1853" t="s">
        <v>2121</v>
      </c>
      <c r="C155" s="1863"/>
      <c r="D155" s="1863"/>
      <c r="E155" s="1863"/>
      <c r="F155" s="1855">
        <v>0.05</v>
      </c>
    </row>
    <row r="156" spans="1:6" ht="24.75" thickBot="1">
      <c r="A156" s="1849" t="s">
        <v>1409</v>
      </c>
      <c r="B156" s="1853" t="s">
        <v>2122</v>
      </c>
      <c r="C156" s="1863"/>
      <c r="D156" s="1863"/>
      <c r="E156" s="1863"/>
      <c r="F156" s="1855">
        <v>0.05</v>
      </c>
    </row>
    <row r="157" spans="1:6" ht="14.25" thickBot="1">
      <c r="A157" s="1857" t="s">
        <v>1409</v>
      </c>
      <c r="B157" s="1864" t="s">
        <v>2123</v>
      </c>
      <c r="C157" s="1860"/>
      <c r="D157" s="1860"/>
      <c r="E157" s="1860"/>
      <c r="F157" s="1865">
        <v>0.05</v>
      </c>
    </row>
    <row r="158" spans="1:6" ht="14.25" thickBot="1">
      <c r="A158" s="1849" t="s">
        <v>1411</v>
      </c>
      <c r="B158" s="1850" t="s">
        <v>2124</v>
      </c>
      <c r="C158" s="1851">
        <v>0.13</v>
      </c>
      <c r="D158" s="1851">
        <v>0.13</v>
      </c>
      <c r="E158" s="1851">
        <v>0.13</v>
      </c>
      <c r="F158" s="1852">
        <v>0.13</v>
      </c>
    </row>
    <row r="159" spans="1:6" ht="14.25" thickBot="1">
      <c r="A159" s="1849" t="s">
        <v>1411</v>
      </c>
      <c r="B159" s="1853" t="s">
        <v>1076</v>
      </c>
      <c r="C159" s="1854">
        <v>0.13</v>
      </c>
      <c r="D159" s="1854">
        <v>0.13</v>
      </c>
      <c r="E159" s="1854">
        <v>0.13</v>
      </c>
      <c r="F159" s="1855">
        <v>0.13</v>
      </c>
    </row>
    <row r="160" spans="1:6" ht="14.25" thickBot="1">
      <c r="A160" s="1849" t="s">
        <v>1411</v>
      </c>
      <c r="B160" s="1853" t="s">
        <v>1090</v>
      </c>
      <c r="C160" s="1854">
        <v>0.13</v>
      </c>
      <c r="D160" s="1854">
        <v>0.13</v>
      </c>
      <c r="E160" s="1854">
        <v>0.129</v>
      </c>
      <c r="F160" s="1855">
        <v>0.13</v>
      </c>
    </row>
    <row r="161" spans="1:6" ht="14.25" thickBot="1">
      <c r="A161" s="1849" t="s">
        <v>1411</v>
      </c>
      <c r="B161" s="1853" t="s">
        <v>1103</v>
      </c>
      <c r="C161" s="1854">
        <v>0.128</v>
      </c>
      <c r="D161" s="1854">
        <v>0.128</v>
      </c>
      <c r="E161" s="1854">
        <v>0.125</v>
      </c>
      <c r="F161" s="1855">
        <v>0.13</v>
      </c>
    </row>
    <row r="162" spans="1:6" ht="14.25" thickBot="1">
      <c r="A162" s="1849" t="s">
        <v>1411</v>
      </c>
      <c r="B162" s="1853" t="s">
        <v>1117</v>
      </c>
      <c r="C162" s="1854">
        <v>0.122</v>
      </c>
      <c r="D162" s="1854">
        <v>0.122</v>
      </c>
      <c r="E162" s="1854">
        <v>0.126</v>
      </c>
      <c r="F162" s="1855">
        <v>0.122</v>
      </c>
    </row>
    <row r="163" spans="1:6" ht="14.25" thickBot="1">
      <c r="A163" s="1849" t="s">
        <v>1411</v>
      </c>
      <c r="B163" s="1853" t="s">
        <v>1128</v>
      </c>
      <c r="C163" s="1854">
        <v>0.13</v>
      </c>
      <c r="D163" s="1854">
        <v>0.13</v>
      </c>
      <c r="E163" s="1854">
        <v>0.125</v>
      </c>
      <c r="F163" s="1855">
        <v>0.13</v>
      </c>
    </row>
    <row r="164" spans="1:6" ht="14.25" thickBot="1">
      <c r="A164" s="1849" t="s">
        <v>1411</v>
      </c>
      <c r="B164" s="1853" t="s">
        <v>1139</v>
      </c>
      <c r="C164" s="1854">
        <v>0.13</v>
      </c>
      <c r="D164" s="1854">
        <v>0.13</v>
      </c>
      <c r="E164" s="1854">
        <v>0.13</v>
      </c>
      <c r="F164" s="1855">
        <v>0.13</v>
      </c>
    </row>
    <row r="165" spans="1:6" ht="14.25" thickBot="1">
      <c r="A165" s="1849" t="s">
        <v>1411</v>
      </c>
      <c r="B165" s="1853" t="s">
        <v>1150</v>
      </c>
      <c r="C165" s="1854">
        <v>0.13</v>
      </c>
      <c r="D165" s="1854">
        <v>0.13</v>
      </c>
      <c r="E165" s="1854">
        <v>0.124</v>
      </c>
      <c r="F165" s="1855">
        <v>0.13</v>
      </c>
    </row>
    <row r="166" spans="1:6" ht="14.25" thickBot="1">
      <c r="A166" s="1849" t="s">
        <v>1411</v>
      </c>
      <c r="B166" s="1853" t="s">
        <v>1162</v>
      </c>
      <c r="C166" s="1854">
        <v>0.13</v>
      </c>
      <c r="D166" s="1854">
        <v>0.13</v>
      </c>
      <c r="E166" s="1854">
        <v>0.13</v>
      </c>
      <c r="F166" s="1855">
        <v>0.13</v>
      </c>
    </row>
    <row r="167" spans="1:6" ht="14.25" thickBot="1">
      <c r="A167" s="1849" t="s">
        <v>1411</v>
      </c>
      <c r="B167" s="1853" t="s">
        <v>1172</v>
      </c>
      <c r="C167" s="1854">
        <v>0.125</v>
      </c>
      <c r="D167" s="1854">
        <v>0.125</v>
      </c>
      <c r="E167" s="1854">
        <v>0.121</v>
      </c>
      <c r="F167" s="1862"/>
    </row>
    <row r="168" spans="1:6" ht="14.25" thickBot="1">
      <c r="A168" s="1849" t="s">
        <v>1411</v>
      </c>
      <c r="B168" s="1853" t="s">
        <v>1182</v>
      </c>
      <c r="C168" s="1854">
        <v>0.13</v>
      </c>
      <c r="D168" s="1854">
        <v>0.13</v>
      </c>
      <c r="E168" s="1854">
        <v>0.126</v>
      </c>
      <c r="F168" s="1862"/>
    </row>
    <row r="169" spans="1:6" ht="14.25" thickBot="1">
      <c r="A169" s="1849" t="s">
        <v>1411</v>
      </c>
      <c r="B169" s="1853" t="s">
        <v>1192</v>
      </c>
      <c r="C169" s="1854">
        <v>0.128</v>
      </c>
      <c r="D169" s="1854">
        <v>0.129</v>
      </c>
      <c r="E169" s="1854">
        <v>0.13</v>
      </c>
      <c r="F169" s="1862"/>
    </row>
    <row r="170" spans="1:6" ht="14.25" thickBot="1">
      <c r="A170" s="1849" t="s">
        <v>1411</v>
      </c>
      <c r="B170" s="1853" t="s">
        <v>1202</v>
      </c>
      <c r="C170" s="1854">
        <v>0.14099999999999999</v>
      </c>
      <c r="D170" s="1854">
        <v>0.13</v>
      </c>
      <c r="E170" s="1854">
        <v>0.125</v>
      </c>
      <c r="F170" s="1862"/>
    </row>
    <row r="171" spans="1:6" ht="14.25" thickBot="1">
      <c r="A171" s="1849" t="s">
        <v>1411</v>
      </c>
      <c r="B171" s="1853" t="s">
        <v>2125</v>
      </c>
      <c r="C171" s="1854">
        <v>0.127</v>
      </c>
      <c r="D171" s="1854">
        <v>0.126</v>
      </c>
      <c r="E171" s="1854">
        <v>0.126</v>
      </c>
      <c r="F171" s="1855">
        <v>0.11799999999999999</v>
      </c>
    </row>
    <row r="172" spans="1:6" ht="14.25" thickBot="1">
      <c r="A172" s="1849" t="s">
        <v>1411</v>
      </c>
      <c r="B172" s="1853" t="s">
        <v>2126</v>
      </c>
      <c r="C172" s="1854">
        <v>0.13</v>
      </c>
      <c r="D172" s="1854">
        <v>0.13</v>
      </c>
      <c r="E172" s="1854">
        <v>0.13</v>
      </c>
      <c r="F172" s="1862"/>
    </row>
    <row r="173" spans="1:6" ht="14.25" thickBot="1">
      <c r="A173" s="1849" t="s">
        <v>1411</v>
      </c>
      <c r="B173" s="1853" t="s">
        <v>1232</v>
      </c>
      <c r="C173" s="1854">
        <v>0.13</v>
      </c>
      <c r="D173" s="1854">
        <v>0.13</v>
      </c>
      <c r="E173" s="1854">
        <v>0.13</v>
      </c>
      <c r="F173" s="1862"/>
    </row>
    <row r="174" spans="1:6" ht="14.25" thickBot="1">
      <c r="A174" s="1849" t="s">
        <v>1411</v>
      </c>
      <c r="B174" s="1853" t="s">
        <v>2127</v>
      </c>
      <c r="C174" s="1854">
        <v>0.13</v>
      </c>
      <c r="D174" s="1854">
        <v>0.13</v>
      </c>
      <c r="E174" s="1854">
        <v>0.13</v>
      </c>
      <c r="F174" s="1855">
        <v>0.13</v>
      </c>
    </row>
    <row r="175" spans="1:6" ht="14.25" thickBot="1">
      <c r="A175" s="1849" t="s">
        <v>1411</v>
      </c>
      <c r="B175" s="1853" t="s">
        <v>2128</v>
      </c>
      <c r="C175" s="1854">
        <v>0.13</v>
      </c>
      <c r="D175" s="1854">
        <v>0.13</v>
      </c>
      <c r="E175" s="1854">
        <v>0.13</v>
      </c>
      <c r="F175" s="1855">
        <v>0.13</v>
      </c>
    </row>
    <row r="176" spans="1:6" ht="14.25" thickBot="1">
      <c r="A176" s="1849" t="s">
        <v>1411</v>
      </c>
      <c r="B176" s="1853" t="s">
        <v>1262</v>
      </c>
      <c r="C176" s="1854">
        <v>0.13</v>
      </c>
      <c r="D176" s="1854">
        <v>0.13</v>
      </c>
      <c r="E176" s="1854">
        <v>0.13</v>
      </c>
      <c r="F176" s="1855">
        <v>0.13</v>
      </c>
    </row>
    <row r="177" spans="1:6" ht="14.25" thickBot="1">
      <c r="A177" s="1849" t="s">
        <v>1411</v>
      </c>
      <c r="B177" s="1853" t="s">
        <v>2129</v>
      </c>
      <c r="C177" s="1854">
        <v>0.13</v>
      </c>
      <c r="D177" s="1854">
        <v>0.13</v>
      </c>
      <c r="E177" s="1854">
        <v>0.13</v>
      </c>
      <c r="F177" s="1855">
        <v>0.13</v>
      </c>
    </row>
    <row r="178" spans="1:6" ht="14.25" thickBot="1">
      <c r="A178" s="1849" t="s">
        <v>1411</v>
      </c>
      <c r="B178" s="1853" t="s">
        <v>1280</v>
      </c>
      <c r="C178" s="1854">
        <v>0.13</v>
      </c>
      <c r="D178" s="1854">
        <v>0.13</v>
      </c>
      <c r="E178" s="1854">
        <v>0.13</v>
      </c>
      <c r="F178" s="1855">
        <v>0.127</v>
      </c>
    </row>
    <row r="179" spans="1:6" ht="14.25" thickBot="1">
      <c r="A179" s="1849" t="s">
        <v>1411</v>
      </c>
      <c r="B179" s="1853" t="s">
        <v>1288</v>
      </c>
      <c r="C179" s="1854">
        <v>0.13</v>
      </c>
      <c r="D179" s="1854">
        <v>0.13</v>
      </c>
      <c r="E179" s="1854">
        <v>0.13</v>
      </c>
      <c r="F179" s="1862"/>
    </row>
    <row r="180" spans="1:6" ht="14.25" thickBot="1">
      <c r="A180" s="1849" t="s">
        <v>1411</v>
      </c>
      <c r="B180" s="1853" t="s">
        <v>2130</v>
      </c>
      <c r="C180" s="1854">
        <v>0.13</v>
      </c>
      <c r="D180" s="1854">
        <v>0.13</v>
      </c>
      <c r="E180" s="1854">
        <v>0.125</v>
      </c>
      <c r="F180" s="1855">
        <v>0.13</v>
      </c>
    </row>
    <row r="181" spans="1:6" ht="14.25" thickBot="1">
      <c r="A181" s="1849" t="s">
        <v>1411</v>
      </c>
      <c r="B181" s="1853" t="s">
        <v>1302</v>
      </c>
      <c r="C181" s="1854">
        <v>0.122</v>
      </c>
      <c r="D181" s="1854">
        <v>0.123</v>
      </c>
      <c r="E181" s="1854">
        <v>0.126</v>
      </c>
      <c r="F181" s="1855">
        <v>0.121</v>
      </c>
    </row>
    <row r="182" spans="1:6" ht="14.25" thickBot="1">
      <c r="A182" s="1849" t="s">
        <v>1411</v>
      </c>
      <c r="B182" s="1853" t="s">
        <v>1309</v>
      </c>
      <c r="C182" s="1854">
        <v>0.125</v>
      </c>
      <c r="D182" s="1854">
        <v>0.125</v>
      </c>
      <c r="E182" s="1854">
        <v>0.11700000000000001</v>
      </c>
      <c r="F182" s="1855">
        <v>0.13</v>
      </c>
    </row>
    <row r="183" spans="1:6" ht="14.25" thickBot="1">
      <c r="A183" s="1849" t="s">
        <v>1411</v>
      </c>
      <c r="B183" s="1853" t="s">
        <v>1316</v>
      </c>
      <c r="C183" s="1854">
        <v>0.127</v>
      </c>
      <c r="D183" s="1854">
        <v>0.127</v>
      </c>
      <c r="E183" s="1854">
        <v>0.128</v>
      </c>
      <c r="F183" s="1862"/>
    </row>
    <row r="184" spans="1:6" ht="14.25" thickBot="1">
      <c r="A184" s="1849" t="s">
        <v>1411</v>
      </c>
      <c r="B184" s="1853" t="s">
        <v>1323</v>
      </c>
      <c r="C184" s="1854">
        <v>0.125</v>
      </c>
      <c r="D184" s="1854">
        <v>0.125</v>
      </c>
      <c r="E184" s="1854">
        <v>0.127</v>
      </c>
      <c r="F184" s="1862"/>
    </row>
    <row r="185" spans="1:6" ht="14.25" thickBot="1">
      <c r="A185" s="1849" t="s">
        <v>1411</v>
      </c>
      <c r="B185" s="1853" t="s">
        <v>2131</v>
      </c>
      <c r="C185" s="1854">
        <v>0.127</v>
      </c>
      <c r="D185" s="1854">
        <v>0.127</v>
      </c>
      <c r="E185" s="1854">
        <v>0.128</v>
      </c>
      <c r="F185" s="1855">
        <v>0.13</v>
      </c>
    </row>
    <row r="186" spans="1:6" ht="24.75" thickBot="1">
      <c r="A186" s="1849" t="s">
        <v>1411</v>
      </c>
      <c r="B186" s="1853" t="s">
        <v>2132</v>
      </c>
      <c r="C186" s="1863"/>
      <c r="D186" s="1863"/>
      <c r="E186" s="1863"/>
      <c r="F186" s="1855">
        <v>0.05</v>
      </c>
    </row>
    <row r="187" spans="1:6" ht="14.25" thickBot="1">
      <c r="A187" s="1849" t="s">
        <v>1411</v>
      </c>
      <c r="B187" s="1853" t="s">
        <v>2133</v>
      </c>
      <c r="C187" s="1863"/>
      <c r="D187" s="1863"/>
      <c r="E187" s="1863"/>
      <c r="F187" s="1855">
        <v>0.05</v>
      </c>
    </row>
    <row r="188" spans="1:6" ht="14.25" thickBot="1">
      <c r="A188" s="1849" t="s">
        <v>1411</v>
      </c>
      <c r="B188" s="1853" t="s">
        <v>2134</v>
      </c>
      <c r="C188" s="1863"/>
      <c r="D188" s="1863"/>
      <c r="E188" s="1863"/>
      <c r="F188" s="1855">
        <v>0.05</v>
      </c>
    </row>
    <row r="189" spans="1:6" ht="24.75" thickBot="1">
      <c r="A189" s="1849" t="s">
        <v>1411</v>
      </c>
      <c r="B189" s="1853" t="s">
        <v>2135</v>
      </c>
      <c r="C189" s="1863"/>
      <c r="D189" s="1863"/>
      <c r="E189" s="1863"/>
      <c r="F189" s="1855">
        <v>0.05</v>
      </c>
    </row>
    <row r="190" spans="1:6" ht="24.75" thickBot="1">
      <c r="A190" s="1849" t="s">
        <v>1411</v>
      </c>
      <c r="B190" s="1853" t="s">
        <v>2136</v>
      </c>
      <c r="C190" s="1863"/>
      <c r="D190" s="1863"/>
      <c r="E190" s="1863"/>
      <c r="F190" s="1855">
        <v>0.05</v>
      </c>
    </row>
    <row r="191" spans="1:6" ht="24.75" thickBot="1">
      <c r="A191" s="1849" t="s">
        <v>1411</v>
      </c>
      <c r="B191" s="1853" t="s">
        <v>2137</v>
      </c>
      <c r="C191" s="1863"/>
      <c r="D191" s="1863"/>
      <c r="E191" s="1863"/>
      <c r="F191" s="1855">
        <v>0.05</v>
      </c>
    </row>
    <row r="192" spans="1:6" ht="24.75" thickBot="1">
      <c r="A192" s="1849" t="s">
        <v>1411</v>
      </c>
      <c r="B192" s="1853" t="s">
        <v>2138</v>
      </c>
      <c r="C192" s="1863"/>
      <c r="D192" s="1863"/>
      <c r="E192" s="1863"/>
      <c r="F192" s="1855">
        <v>0.05</v>
      </c>
    </row>
    <row r="193" spans="1:6" ht="24.75" thickBot="1">
      <c r="A193" s="1849" t="s">
        <v>1411</v>
      </c>
      <c r="B193" s="1853" t="s">
        <v>2139</v>
      </c>
      <c r="C193" s="1863"/>
      <c r="D193" s="1863"/>
      <c r="E193" s="1863"/>
      <c r="F193" s="1855">
        <v>0.05</v>
      </c>
    </row>
    <row r="194" spans="1:6" ht="24.75" thickBot="1">
      <c r="A194" s="1849" t="s">
        <v>1411</v>
      </c>
      <c r="B194" s="1853" t="s">
        <v>2140</v>
      </c>
      <c r="C194" s="1863"/>
      <c r="D194" s="1863"/>
      <c r="E194" s="1863"/>
      <c r="F194" s="1855">
        <v>0.05</v>
      </c>
    </row>
    <row r="195" spans="1:6" ht="14.25" thickBot="1">
      <c r="A195" s="1849" t="s">
        <v>1411</v>
      </c>
      <c r="B195" s="1853" t="s">
        <v>2141</v>
      </c>
      <c r="C195" s="1863"/>
      <c r="D195" s="1863"/>
      <c r="E195" s="1863"/>
      <c r="F195" s="1855">
        <v>0.05</v>
      </c>
    </row>
    <row r="196" spans="1:6" ht="24.75" thickBot="1">
      <c r="A196" s="1849" t="s">
        <v>1411</v>
      </c>
      <c r="B196" s="1853" t="s">
        <v>2142</v>
      </c>
      <c r="C196" s="1863"/>
      <c r="D196" s="1863"/>
      <c r="E196" s="1863"/>
      <c r="F196" s="1855">
        <v>0.05</v>
      </c>
    </row>
    <row r="197" spans="1:6" ht="24.75" thickBot="1">
      <c r="A197" s="1849" t="s">
        <v>1411</v>
      </c>
      <c r="B197" s="1853" t="s">
        <v>2143</v>
      </c>
      <c r="C197" s="1863"/>
      <c r="D197" s="1863"/>
      <c r="E197" s="1863"/>
      <c r="F197" s="1855">
        <v>0.05</v>
      </c>
    </row>
    <row r="198" spans="1:6" ht="24.75" thickBot="1">
      <c r="A198" s="1849" t="s">
        <v>1411</v>
      </c>
      <c r="B198" s="1853" t="s">
        <v>2144</v>
      </c>
      <c r="C198" s="1863"/>
      <c r="D198" s="1863"/>
      <c r="E198" s="1863"/>
      <c r="F198" s="1855">
        <v>0.05</v>
      </c>
    </row>
    <row r="199" spans="1:6" ht="24.75" thickBot="1">
      <c r="A199" s="1849" t="s">
        <v>1411</v>
      </c>
      <c r="B199" s="1853" t="s">
        <v>2145</v>
      </c>
      <c r="C199" s="1863"/>
      <c r="D199" s="1863"/>
      <c r="E199" s="1863"/>
      <c r="F199" s="1855">
        <v>0.05</v>
      </c>
    </row>
    <row r="200" spans="1:6" ht="24.75" thickBot="1">
      <c r="A200" s="1849" t="s">
        <v>1411</v>
      </c>
      <c r="B200" s="1853" t="s">
        <v>2146</v>
      </c>
      <c r="C200" s="1863"/>
      <c r="D200" s="1863"/>
      <c r="E200" s="1863"/>
      <c r="F200" s="1855">
        <v>0.05</v>
      </c>
    </row>
    <row r="201" spans="1:6" ht="24.75" thickBot="1">
      <c r="A201" s="1849" t="s">
        <v>1411</v>
      </c>
      <c r="B201" s="1853" t="s">
        <v>2147</v>
      </c>
      <c r="C201" s="1863"/>
      <c r="D201" s="1863"/>
      <c r="E201" s="1863"/>
      <c r="F201" s="1855">
        <v>0.05</v>
      </c>
    </row>
    <row r="202" spans="1:6" ht="24.75" thickBot="1">
      <c r="A202" s="1849" t="s">
        <v>1411</v>
      </c>
      <c r="B202" s="1853" t="s">
        <v>2148</v>
      </c>
      <c r="C202" s="1863"/>
      <c r="D202" s="1863"/>
      <c r="E202" s="1863"/>
      <c r="F202" s="1855">
        <v>0.05</v>
      </c>
    </row>
    <row r="203" spans="1:6" ht="24.75" thickBot="1">
      <c r="A203" s="1849" t="s">
        <v>1411</v>
      </c>
      <c r="B203" s="1853" t="s">
        <v>2149</v>
      </c>
      <c r="C203" s="1863"/>
      <c r="D203" s="1863"/>
      <c r="E203" s="1863"/>
      <c r="F203" s="1855">
        <v>0.05</v>
      </c>
    </row>
    <row r="204" spans="1:6" ht="14.25" thickBot="1">
      <c r="A204" s="1849" t="s">
        <v>1411</v>
      </c>
      <c r="B204" s="1853" t="s">
        <v>2150</v>
      </c>
      <c r="C204" s="1863"/>
      <c r="D204" s="1863"/>
      <c r="E204" s="1863"/>
      <c r="F204" s="1855">
        <v>0.05</v>
      </c>
    </row>
    <row r="205" spans="1:6" ht="14.25" thickBot="1">
      <c r="A205" s="1857" t="s">
        <v>1411</v>
      </c>
      <c r="B205" s="1864" t="s">
        <v>2151</v>
      </c>
      <c r="C205" s="1860"/>
      <c r="D205" s="1860"/>
      <c r="E205" s="1860"/>
      <c r="F205" s="1865">
        <v>0.05</v>
      </c>
    </row>
    <row r="206" spans="1:6" ht="14.25" thickBot="1">
      <c r="A206" s="1849" t="s">
        <v>1413</v>
      </c>
      <c r="B206" s="1850" t="s">
        <v>2152</v>
      </c>
      <c r="C206" s="1851">
        <v>0.15</v>
      </c>
      <c r="D206" s="1851">
        <v>0.15</v>
      </c>
      <c r="E206" s="1851">
        <v>0.15</v>
      </c>
      <c r="F206" s="1852">
        <v>0.15</v>
      </c>
    </row>
    <row r="207" spans="1:6" ht="14.25" thickBot="1">
      <c r="A207" s="1849" t="s">
        <v>1413</v>
      </c>
      <c r="B207" s="1853" t="s">
        <v>1077</v>
      </c>
      <c r="C207" s="1854">
        <v>0.15</v>
      </c>
      <c r="D207" s="1854">
        <v>0.15</v>
      </c>
      <c r="E207" s="1854">
        <v>0.15</v>
      </c>
      <c r="F207" s="1855">
        <v>0.14399999999999999</v>
      </c>
    </row>
    <row r="208" spans="1:6" ht="14.25" thickBot="1">
      <c r="A208" s="1849" t="s">
        <v>1413</v>
      </c>
      <c r="B208" s="1853" t="s">
        <v>1091</v>
      </c>
      <c r="C208" s="1854">
        <v>0.15</v>
      </c>
      <c r="D208" s="1854">
        <v>0.15</v>
      </c>
      <c r="E208" s="1854">
        <v>0.15</v>
      </c>
      <c r="F208" s="1855">
        <v>0.15</v>
      </c>
    </row>
    <row r="209" spans="1:6" ht="14.25" thickBot="1">
      <c r="A209" s="1849" t="s">
        <v>1413</v>
      </c>
      <c r="B209" s="1853" t="s">
        <v>1104</v>
      </c>
      <c r="C209" s="1854">
        <v>0.13700000000000001</v>
      </c>
      <c r="D209" s="1854">
        <v>0.13700000000000001</v>
      </c>
      <c r="E209" s="1854">
        <v>0.14000000000000001</v>
      </c>
      <c r="F209" s="1855">
        <v>0.11700000000000001</v>
      </c>
    </row>
    <row r="210" spans="1:6" ht="14.25" thickBot="1">
      <c r="A210" s="1849" t="s">
        <v>1413</v>
      </c>
      <c r="B210" s="1853" t="s">
        <v>2153</v>
      </c>
      <c r="C210" s="1854">
        <v>0.15</v>
      </c>
      <c r="D210" s="1854">
        <v>0.15</v>
      </c>
      <c r="E210" s="1854">
        <v>0.15</v>
      </c>
      <c r="F210" s="1855">
        <v>0.13800000000000001</v>
      </c>
    </row>
    <row r="211" spans="1:6" ht="14.25" thickBot="1">
      <c r="A211" s="1849" t="s">
        <v>1413</v>
      </c>
      <c r="B211" s="1853" t="s">
        <v>2154</v>
      </c>
      <c r="C211" s="1854">
        <v>0.13700000000000001</v>
      </c>
      <c r="D211" s="1854">
        <v>0.13500000000000001</v>
      </c>
      <c r="E211" s="1854">
        <v>0.13600000000000001</v>
      </c>
      <c r="F211" s="1855">
        <v>0.1</v>
      </c>
    </row>
    <row r="212" spans="1:6" ht="14.25" thickBot="1">
      <c r="A212" s="1849" t="s">
        <v>1413</v>
      </c>
      <c r="B212" s="1853" t="s">
        <v>2155</v>
      </c>
      <c r="C212" s="1854">
        <v>0.15</v>
      </c>
      <c r="D212" s="1854">
        <v>0.15</v>
      </c>
      <c r="E212" s="1854">
        <v>0.14799999999999999</v>
      </c>
      <c r="F212" s="1855">
        <v>0.13600000000000001</v>
      </c>
    </row>
    <row r="213" spans="1:6" ht="14.25" thickBot="1">
      <c r="A213" s="1849" t="s">
        <v>1413</v>
      </c>
      <c r="B213" s="1853" t="s">
        <v>1151</v>
      </c>
      <c r="C213" s="1854">
        <v>0.15</v>
      </c>
      <c r="D213" s="1854">
        <v>0.15</v>
      </c>
      <c r="E213" s="1854">
        <v>0.15</v>
      </c>
      <c r="F213" s="1855">
        <v>0.13800000000000001</v>
      </c>
    </row>
    <row r="214" spans="1:6" ht="14.25" thickBot="1">
      <c r="A214" s="1849" t="s">
        <v>1413</v>
      </c>
      <c r="B214" s="1853" t="s">
        <v>1163</v>
      </c>
      <c r="C214" s="1854">
        <v>9.0999999999999998E-2</v>
      </c>
      <c r="D214" s="1854">
        <v>0.09</v>
      </c>
      <c r="E214" s="1854">
        <v>9.1999999999999998E-2</v>
      </c>
      <c r="F214" s="1862"/>
    </row>
    <row r="215" spans="1:6" ht="14.25" thickBot="1">
      <c r="A215" s="1849" t="s">
        <v>1413</v>
      </c>
      <c r="B215" s="1853" t="s">
        <v>2156</v>
      </c>
      <c r="C215" s="1854">
        <v>0.15</v>
      </c>
      <c r="D215" s="1854">
        <v>0.15</v>
      </c>
      <c r="E215" s="1854">
        <v>0.15</v>
      </c>
      <c r="F215" s="1855">
        <v>0.15</v>
      </c>
    </row>
    <row r="216" spans="1:6" ht="14.25" thickBot="1">
      <c r="A216" s="1849" t="s">
        <v>1413</v>
      </c>
      <c r="B216" s="1853" t="s">
        <v>1183</v>
      </c>
      <c r="C216" s="1854">
        <v>0.14699999999999999</v>
      </c>
      <c r="D216" s="1854">
        <v>0.14699999999999999</v>
      </c>
      <c r="E216" s="1854">
        <v>0.15</v>
      </c>
      <c r="F216" s="1855">
        <v>0.14000000000000001</v>
      </c>
    </row>
    <row r="217" spans="1:6" ht="14.25" thickBot="1">
      <c r="A217" s="1849" t="s">
        <v>1413</v>
      </c>
      <c r="B217" s="1853" t="s">
        <v>1193</v>
      </c>
      <c r="C217" s="1854">
        <v>0.15</v>
      </c>
      <c r="D217" s="1854">
        <v>0.15</v>
      </c>
      <c r="E217" s="1854">
        <v>0.15</v>
      </c>
      <c r="F217" s="1855">
        <v>0.15</v>
      </c>
    </row>
    <row r="218" spans="1:6" ht="14.25" thickBot="1">
      <c r="A218" s="1849" t="s">
        <v>1413</v>
      </c>
      <c r="B218" s="1853" t="s">
        <v>2157</v>
      </c>
      <c r="C218" s="1854">
        <v>0.15</v>
      </c>
      <c r="D218" s="1854">
        <v>0.15</v>
      </c>
      <c r="E218" s="1854">
        <v>0.15</v>
      </c>
      <c r="F218" s="1855">
        <v>0.15</v>
      </c>
    </row>
    <row r="219" spans="1:6" ht="14.25" thickBot="1">
      <c r="A219" s="1849" t="s">
        <v>1413</v>
      </c>
      <c r="B219" s="1853" t="s">
        <v>1213</v>
      </c>
      <c r="C219" s="1854">
        <v>0.15</v>
      </c>
      <c r="D219" s="1854">
        <v>0.15</v>
      </c>
      <c r="E219" s="1854">
        <v>0.15</v>
      </c>
      <c r="F219" s="1855">
        <v>0.14799999999999999</v>
      </c>
    </row>
    <row r="220" spans="1:6" ht="14.25" thickBot="1">
      <c r="A220" s="1849" t="s">
        <v>1413</v>
      </c>
      <c r="B220" s="1853" t="s">
        <v>2158</v>
      </c>
      <c r="C220" s="1854">
        <v>0.15</v>
      </c>
      <c r="D220" s="1854">
        <v>0.15</v>
      </c>
      <c r="E220" s="1854">
        <v>0.15</v>
      </c>
      <c r="F220" s="1855">
        <v>0.15</v>
      </c>
    </row>
    <row r="221" spans="1:6" ht="14.25" thickBot="1">
      <c r="A221" s="1849" t="s">
        <v>1413</v>
      </c>
      <c r="B221" s="1853" t="s">
        <v>1233</v>
      </c>
      <c r="C221" s="1854"/>
      <c r="D221" s="1863"/>
      <c r="E221" s="1863"/>
      <c r="F221" s="1855">
        <v>0.14799999999999999</v>
      </c>
    </row>
    <row r="222" spans="1:6" ht="14.25" thickBot="1">
      <c r="A222" s="1849" t="s">
        <v>1413</v>
      </c>
      <c r="B222" s="1853" t="s">
        <v>1243</v>
      </c>
      <c r="C222" s="1854"/>
      <c r="D222" s="1863"/>
      <c r="E222" s="1863"/>
      <c r="F222" s="1855">
        <v>0.1</v>
      </c>
    </row>
    <row r="223" spans="1:6" ht="14.25" thickBot="1">
      <c r="A223" s="1849" t="s">
        <v>1413</v>
      </c>
      <c r="B223" s="1853" t="s">
        <v>1253</v>
      </c>
      <c r="C223" s="1854"/>
      <c r="D223" s="1863"/>
      <c r="E223" s="1863"/>
      <c r="F223" s="1855">
        <v>0.15</v>
      </c>
    </row>
    <row r="224" spans="1:6" ht="14.25" thickBot="1">
      <c r="A224" s="1849" t="s">
        <v>1413</v>
      </c>
      <c r="B224" s="1853" t="s">
        <v>1263</v>
      </c>
      <c r="C224" s="1854"/>
      <c r="D224" s="1863"/>
      <c r="E224" s="1863"/>
      <c r="F224" s="1855">
        <v>0.15</v>
      </c>
    </row>
    <row r="225" spans="1:6" ht="14.25" thickBot="1">
      <c r="A225" s="1849" t="s">
        <v>1413</v>
      </c>
      <c r="B225" s="1853" t="s">
        <v>2159</v>
      </c>
      <c r="C225" s="1854">
        <v>0.15</v>
      </c>
      <c r="D225" s="1854">
        <v>0.15</v>
      </c>
      <c r="E225" s="1854">
        <v>0.15</v>
      </c>
      <c r="F225" s="1855">
        <v>0.15</v>
      </c>
    </row>
    <row r="226" spans="1:6" ht="14.25" thickBot="1">
      <c r="A226" s="1849" t="s">
        <v>1413</v>
      </c>
      <c r="B226" s="1853" t="s">
        <v>1281</v>
      </c>
      <c r="C226" s="1854">
        <v>0.15</v>
      </c>
      <c r="D226" s="1854">
        <v>0.15</v>
      </c>
      <c r="E226" s="1854">
        <v>0.15</v>
      </c>
      <c r="F226" s="1855">
        <v>0.14799999999999999</v>
      </c>
    </row>
    <row r="227" spans="1:6" ht="14.25" thickBot="1">
      <c r="A227" s="1849" t="s">
        <v>1413</v>
      </c>
      <c r="B227" s="1853" t="s">
        <v>2160</v>
      </c>
      <c r="C227" s="1854">
        <v>0.15</v>
      </c>
      <c r="D227" s="1854">
        <v>0.15</v>
      </c>
      <c r="E227" s="1854">
        <v>0.15</v>
      </c>
      <c r="F227" s="1855">
        <v>0.15</v>
      </c>
    </row>
    <row r="228" spans="1:6" ht="14.25" thickBot="1">
      <c r="A228" s="1849" t="s">
        <v>1413</v>
      </c>
      <c r="B228" s="1853" t="s">
        <v>1296</v>
      </c>
      <c r="C228" s="1854">
        <v>0.15</v>
      </c>
      <c r="D228" s="1854">
        <v>0.15</v>
      </c>
      <c r="E228" s="1854">
        <v>0.15</v>
      </c>
      <c r="F228" s="1855">
        <v>0.15</v>
      </c>
    </row>
    <row r="229" spans="1:6" ht="14.25" thickBot="1">
      <c r="A229" s="1849" t="s">
        <v>1413</v>
      </c>
      <c r="B229" s="1853" t="s">
        <v>1303</v>
      </c>
      <c r="C229" s="1854">
        <v>0.15</v>
      </c>
      <c r="D229" s="1854">
        <v>0.15</v>
      </c>
      <c r="E229" s="1854">
        <v>0.15</v>
      </c>
      <c r="F229" s="1862"/>
    </row>
    <row r="230" spans="1:6" ht="14.25" thickBot="1">
      <c r="A230" s="1849" t="s">
        <v>1413</v>
      </c>
      <c r="B230" s="1853" t="s">
        <v>1310</v>
      </c>
      <c r="C230" s="1854">
        <v>0.14499999999999999</v>
      </c>
      <c r="D230" s="1854">
        <v>0.14499999999999999</v>
      </c>
      <c r="E230" s="1854">
        <v>0.14399999999999999</v>
      </c>
      <c r="F230" s="1862"/>
    </row>
    <row r="231" spans="1:6" ht="14.25" thickBot="1">
      <c r="A231" s="1849" t="s">
        <v>1413</v>
      </c>
      <c r="B231" s="1853" t="s">
        <v>2161</v>
      </c>
      <c r="C231" s="1854">
        <v>0.128</v>
      </c>
      <c r="D231" s="1854">
        <v>0.125</v>
      </c>
      <c r="E231" s="1854">
        <v>0.13200000000000001</v>
      </c>
      <c r="F231" s="1862"/>
    </row>
    <row r="232" spans="1:6" ht="14.25" thickBot="1">
      <c r="A232" s="1849" t="s">
        <v>1413</v>
      </c>
      <c r="B232" s="1853" t="s">
        <v>2162</v>
      </c>
      <c r="C232" s="1854">
        <v>0.14499999999999999</v>
      </c>
      <c r="D232" s="1854">
        <v>0.14399999999999999</v>
      </c>
      <c r="E232" s="1854">
        <v>0.14599999999999999</v>
      </c>
      <c r="F232" s="1855">
        <v>0.13800000000000001</v>
      </c>
    </row>
    <row r="233" spans="1:6" ht="14.25" thickBot="1">
      <c r="A233" s="1849" t="s">
        <v>1413</v>
      </c>
      <c r="B233" s="1853" t="s">
        <v>2163</v>
      </c>
      <c r="C233" s="1854">
        <v>0.14499999999999999</v>
      </c>
      <c r="D233" s="1854">
        <v>0.14299999999999999</v>
      </c>
      <c r="E233" s="1854">
        <v>0.14199999999999999</v>
      </c>
      <c r="F233" s="1862"/>
    </row>
    <row r="234" spans="1:6" ht="14.25" thickBot="1">
      <c r="A234" s="1849" t="s">
        <v>1413</v>
      </c>
      <c r="B234" s="1853" t="s">
        <v>2164</v>
      </c>
      <c r="C234" s="1854">
        <v>0.14000000000000001</v>
      </c>
      <c r="D234" s="1854">
        <v>0.14000000000000001</v>
      </c>
      <c r="E234" s="1854">
        <v>0.14399999999999999</v>
      </c>
      <c r="F234" s="1862"/>
    </row>
    <row r="235" spans="1:6" ht="14.25" thickBot="1">
      <c r="A235" s="1849" t="s">
        <v>1413</v>
      </c>
      <c r="B235" s="1853" t="s">
        <v>2165</v>
      </c>
      <c r="C235" s="1854">
        <v>0.14099999999999999</v>
      </c>
      <c r="D235" s="1854">
        <v>0.14199999999999999</v>
      </c>
      <c r="E235" s="1854">
        <v>0.14499999999999999</v>
      </c>
      <c r="F235" s="1855">
        <v>0.15</v>
      </c>
    </row>
    <row r="236" spans="1:6" ht="14.25" thickBot="1">
      <c r="A236" s="1849" t="s">
        <v>1413</v>
      </c>
      <c r="B236" s="1853" t="s">
        <v>1345</v>
      </c>
      <c r="C236" s="1863"/>
      <c r="D236" s="1863"/>
      <c r="E236" s="1863"/>
      <c r="F236" s="1855">
        <v>0.14299999999999999</v>
      </c>
    </row>
    <row r="237" spans="1:6" ht="24.75" thickBot="1">
      <c r="A237" s="1849" t="s">
        <v>1413</v>
      </c>
      <c r="B237" s="1853" t="s">
        <v>2166</v>
      </c>
      <c r="C237" s="1863"/>
      <c r="D237" s="1863"/>
      <c r="E237" s="1863"/>
      <c r="F237" s="1855">
        <v>0.05</v>
      </c>
    </row>
    <row r="238" spans="1:6" ht="24.75" thickBot="1">
      <c r="A238" s="1849" t="s">
        <v>1413</v>
      </c>
      <c r="B238" s="1853" t="s">
        <v>2167</v>
      </c>
      <c r="C238" s="1863"/>
      <c r="D238" s="1863"/>
      <c r="E238" s="1863"/>
      <c r="F238" s="1855">
        <v>0.05</v>
      </c>
    </row>
    <row r="239" spans="1:6" ht="24.75" thickBot="1">
      <c r="A239" s="1849" t="s">
        <v>1413</v>
      </c>
      <c r="B239" s="1853" t="s">
        <v>2168</v>
      </c>
      <c r="C239" s="1863"/>
      <c r="D239" s="1863"/>
      <c r="E239" s="1863"/>
      <c r="F239" s="1855">
        <v>0.05</v>
      </c>
    </row>
    <row r="240" spans="1:6" ht="24.75" thickBot="1">
      <c r="A240" s="1849" t="s">
        <v>1413</v>
      </c>
      <c r="B240" s="1853" t="s">
        <v>2169</v>
      </c>
      <c r="C240" s="1863"/>
      <c r="D240" s="1863"/>
      <c r="E240" s="1863"/>
      <c r="F240" s="1855">
        <v>0.05</v>
      </c>
    </row>
    <row r="241" spans="1:6" ht="24.75" thickBot="1">
      <c r="A241" s="1849" t="s">
        <v>1413</v>
      </c>
      <c r="B241" s="1853" t="s">
        <v>2170</v>
      </c>
      <c r="C241" s="1863"/>
      <c r="D241" s="1863"/>
      <c r="E241" s="1863"/>
      <c r="F241" s="1855">
        <v>0.05</v>
      </c>
    </row>
    <row r="242" spans="1:6" ht="24.75" thickBot="1">
      <c r="A242" s="1849" t="s">
        <v>1413</v>
      </c>
      <c r="B242" s="1853" t="s">
        <v>2171</v>
      </c>
      <c r="C242" s="1863"/>
      <c r="D242" s="1863"/>
      <c r="E242" s="1863"/>
      <c r="F242" s="1855">
        <v>0.05</v>
      </c>
    </row>
    <row r="243" spans="1:6" ht="24.75" thickBot="1">
      <c r="A243" s="1849" t="s">
        <v>1413</v>
      </c>
      <c r="B243" s="1853" t="s">
        <v>2172</v>
      </c>
      <c r="C243" s="1863"/>
      <c r="D243" s="1863"/>
      <c r="E243" s="1863"/>
      <c r="F243" s="1855">
        <v>0.05</v>
      </c>
    </row>
    <row r="244" spans="1:6" ht="24.75" thickBot="1">
      <c r="A244" s="1857" t="s">
        <v>1413</v>
      </c>
      <c r="B244" s="1864" t="s">
        <v>2173</v>
      </c>
      <c r="C244" s="1860"/>
      <c r="D244" s="1860"/>
      <c r="E244" s="1860"/>
      <c r="F244" s="1865">
        <v>0.05</v>
      </c>
    </row>
    <row r="245" spans="1:6" ht="14.25" thickBot="1">
      <c r="A245" s="1849" t="s">
        <v>1415</v>
      </c>
      <c r="B245" s="1850" t="s">
        <v>2174</v>
      </c>
      <c r="C245" s="1851">
        <v>0.15</v>
      </c>
      <c r="D245" s="1851">
        <v>0.15</v>
      </c>
      <c r="E245" s="1851">
        <v>0.15</v>
      </c>
      <c r="F245" s="1852">
        <v>0.14299999999999999</v>
      </c>
    </row>
    <row r="246" spans="1:6" ht="14.25" thickBot="1">
      <c r="A246" s="1849" t="s">
        <v>1415</v>
      </c>
      <c r="B246" s="1853" t="s">
        <v>1078</v>
      </c>
      <c r="C246" s="1854">
        <v>0.15</v>
      </c>
      <c r="D246" s="1854">
        <v>0.15</v>
      </c>
      <c r="E246" s="1854">
        <v>0.15</v>
      </c>
      <c r="F246" s="1855">
        <v>0.114</v>
      </c>
    </row>
    <row r="247" spans="1:6" ht="14.25" thickBot="1">
      <c r="A247" s="1849" t="s">
        <v>1415</v>
      </c>
      <c r="B247" s="1853" t="s">
        <v>2175</v>
      </c>
      <c r="C247" s="1854">
        <v>0.15</v>
      </c>
      <c r="D247" s="1854">
        <v>0.15</v>
      </c>
      <c r="E247" s="1854">
        <v>0.15</v>
      </c>
      <c r="F247" s="1855">
        <v>0.15</v>
      </c>
    </row>
    <row r="248" spans="1:6" ht="14.25" thickBot="1">
      <c r="A248" s="1849" t="s">
        <v>1415</v>
      </c>
      <c r="B248" s="1853" t="s">
        <v>2176</v>
      </c>
      <c r="C248" s="1854">
        <v>0.15</v>
      </c>
      <c r="D248" s="1854">
        <v>0.15</v>
      </c>
      <c r="E248" s="1854">
        <v>0.15</v>
      </c>
      <c r="F248" s="1855">
        <v>0.14000000000000001</v>
      </c>
    </row>
    <row r="249" spans="1:6" ht="14.25" thickBot="1">
      <c r="A249" s="1849" t="s">
        <v>1415</v>
      </c>
      <c r="B249" s="1853" t="s">
        <v>2177</v>
      </c>
      <c r="C249" s="1854">
        <v>0.15</v>
      </c>
      <c r="D249" s="1854">
        <v>0.14899999999999999</v>
      </c>
      <c r="E249" s="1854">
        <v>0.15</v>
      </c>
      <c r="F249" s="1855">
        <v>0.1</v>
      </c>
    </row>
    <row r="250" spans="1:6" ht="14.25" thickBot="1">
      <c r="A250" s="1849" t="s">
        <v>1415</v>
      </c>
      <c r="B250" s="1853" t="s">
        <v>2178</v>
      </c>
      <c r="C250" s="1854">
        <v>0.15</v>
      </c>
      <c r="D250" s="1854">
        <v>0.15</v>
      </c>
      <c r="E250" s="1854">
        <v>0.15</v>
      </c>
      <c r="F250" s="1855">
        <v>0.14399999999999999</v>
      </c>
    </row>
    <row r="251" spans="1:6" ht="14.25" thickBot="1">
      <c r="A251" s="1849" t="s">
        <v>1415</v>
      </c>
      <c r="B251" s="1853" t="s">
        <v>1141</v>
      </c>
      <c r="C251" s="1854">
        <v>0.15</v>
      </c>
      <c r="D251" s="1854">
        <v>0.15</v>
      </c>
      <c r="E251" s="1854">
        <v>0.15</v>
      </c>
      <c r="F251" s="1855">
        <v>0.14299999999999999</v>
      </c>
    </row>
    <row r="252" spans="1:6" ht="14.25" thickBot="1">
      <c r="A252" s="1849" t="s">
        <v>1415</v>
      </c>
      <c r="B252" s="1853" t="s">
        <v>1152</v>
      </c>
      <c r="C252" s="1854">
        <v>0.15</v>
      </c>
      <c r="D252" s="1854">
        <v>0.15</v>
      </c>
      <c r="E252" s="1854">
        <v>0.15</v>
      </c>
      <c r="F252" s="1855">
        <v>0.1</v>
      </c>
    </row>
    <row r="253" spans="1:6" ht="14.25" thickBot="1">
      <c r="A253" s="1849" t="s">
        <v>1415</v>
      </c>
      <c r="B253" s="1853" t="s">
        <v>1164</v>
      </c>
      <c r="C253" s="1854">
        <v>0.15</v>
      </c>
      <c r="D253" s="1854">
        <v>0.15</v>
      </c>
      <c r="E253" s="1854">
        <v>0.15</v>
      </c>
      <c r="F253" s="1855">
        <v>0.1</v>
      </c>
    </row>
    <row r="254" spans="1:6" ht="14.25" thickBot="1">
      <c r="A254" s="1849" t="s">
        <v>1415</v>
      </c>
      <c r="B254" s="1853" t="s">
        <v>1174</v>
      </c>
      <c r="C254" s="1863"/>
      <c r="D254" s="1863"/>
      <c r="E254" s="1863"/>
      <c r="F254" s="1855">
        <v>0.15</v>
      </c>
    </row>
    <row r="255" spans="1:6" ht="14.25" thickBot="1">
      <c r="A255" s="1849" t="s">
        <v>1415</v>
      </c>
      <c r="B255" s="1853" t="s">
        <v>1184</v>
      </c>
      <c r="C255" s="1863"/>
      <c r="D255" s="1863"/>
      <c r="E255" s="1863"/>
      <c r="F255" s="1855">
        <v>0.14299999999999999</v>
      </c>
    </row>
    <row r="256" spans="1:6" ht="14.25" thickBot="1">
      <c r="A256" s="1849" t="s">
        <v>1415</v>
      </c>
      <c r="B256" s="1853" t="s">
        <v>2179</v>
      </c>
      <c r="C256" s="1854">
        <v>0.14599999999999999</v>
      </c>
      <c r="D256" s="1854">
        <v>0.14699999999999999</v>
      </c>
      <c r="E256" s="1854">
        <v>0.15</v>
      </c>
      <c r="F256" s="1855">
        <v>0.13200000000000001</v>
      </c>
    </row>
    <row r="257" spans="1:6" ht="14.25" thickBot="1">
      <c r="A257" s="1849" t="s">
        <v>1415</v>
      </c>
      <c r="B257" s="1853" t="s">
        <v>1204</v>
      </c>
      <c r="C257" s="1854">
        <v>0.15</v>
      </c>
      <c r="D257" s="1854">
        <v>0.15</v>
      </c>
      <c r="E257" s="1854">
        <v>0.15</v>
      </c>
      <c r="F257" s="1855">
        <v>0.13900000000000001</v>
      </c>
    </row>
    <row r="258" spans="1:6" ht="14.25" thickBot="1">
      <c r="A258" s="1849" t="s">
        <v>1415</v>
      </c>
      <c r="B258" s="1853" t="s">
        <v>1214</v>
      </c>
      <c r="C258" s="1854">
        <v>0.15</v>
      </c>
      <c r="D258" s="1854">
        <v>0.15</v>
      </c>
      <c r="E258" s="1854">
        <v>0.15</v>
      </c>
      <c r="F258" s="1855">
        <v>0.13</v>
      </c>
    </row>
    <row r="259" spans="1:6" ht="14.25" thickBot="1">
      <c r="A259" s="1849" t="s">
        <v>1415</v>
      </c>
      <c r="B259" s="1853" t="s">
        <v>2180</v>
      </c>
      <c r="C259" s="1854">
        <v>0.14799999999999999</v>
      </c>
      <c r="D259" s="1854">
        <v>0.14899999999999999</v>
      </c>
      <c r="E259" s="1854">
        <v>0.15</v>
      </c>
      <c r="F259" s="1855">
        <v>0.13700000000000001</v>
      </c>
    </row>
    <row r="260" spans="1:6" ht="14.25" thickBot="1">
      <c r="A260" s="1849" t="s">
        <v>1415</v>
      </c>
      <c r="B260" s="1853" t="s">
        <v>1234</v>
      </c>
      <c r="C260" s="1854">
        <v>0.15</v>
      </c>
      <c r="D260" s="1854">
        <v>0.15</v>
      </c>
      <c r="E260" s="1854">
        <v>0.15</v>
      </c>
      <c r="F260" s="1855">
        <v>0.14199999999999999</v>
      </c>
    </row>
    <row r="261" spans="1:6" ht="14.25" thickBot="1">
      <c r="A261" s="1849" t="s">
        <v>1415</v>
      </c>
      <c r="B261" s="1853" t="s">
        <v>1244</v>
      </c>
      <c r="C261" s="1854">
        <v>0.15</v>
      </c>
      <c r="D261" s="1854">
        <v>0.15</v>
      </c>
      <c r="E261" s="1854">
        <v>0.14899999999999999</v>
      </c>
      <c r="F261" s="1855">
        <v>0.14799999999999999</v>
      </c>
    </row>
    <row r="262" spans="1:6" ht="14.25" thickBot="1">
      <c r="A262" s="1849" t="s">
        <v>1415</v>
      </c>
      <c r="B262" s="1853" t="s">
        <v>1254</v>
      </c>
      <c r="C262" s="1854">
        <v>0.15</v>
      </c>
      <c r="D262" s="1854">
        <v>0.15</v>
      </c>
      <c r="E262" s="1854">
        <v>0.15</v>
      </c>
      <c r="F262" s="1862"/>
    </row>
    <row r="263" spans="1:6" ht="14.25" thickBot="1">
      <c r="A263" s="1849" t="s">
        <v>1415</v>
      </c>
      <c r="B263" s="1853" t="s">
        <v>2181</v>
      </c>
      <c r="C263" s="1854">
        <v>0.14899999999999999</v>
      </c>
      <c r="D263" s="1854">
        <v>0.14899999999999999</v>
      </c>
      <c r="E263" s="1854">
        <v>0.15</v>
      </c>
      <c r="F263" s="1855">
        <v>0.13</v>
      </c>
    </row>
    <row r="264" spans="1:6" ht="14.25" thickBot="1">
      <c r="A264" s="1849" t="s">
        <v>1415</v>
      </c>
      <c r="B264" s="1853" t="s">
        <v>1273</v>
      </c>
      <c r="C264" s="1854">
        <v>0.14799999999999999</v>
      </c>
      <c r="D264" s="1854">
        <v>0.14699999999999999</v>
      </c>
      <c r="E264" s="1854">
        <v>0.15</v>
      </c>
      <c r="F264" s="1855">
        <v>7.8E-2</v>
      </c>
    </row>
    <row r="265" spans="1:6" ht="14.25" thickBot="1">
      <c r="A265" s="1849" t="s">
        <v>1415</v>
      </c>
      <c r="B265" s="1853" t="s">
        <v>1282</v>
      </c>
      <c r="C265" s="1854">
        <v>0.15</v>
      </c>
      <c r="D265" s="1854">
        <v>0.15</v>
      </c>
      <c r="E265" s="1854">
        <v>0.15</v>
      </c>
      <c r="F265" s="1855">
        <v>7.3999999999999996E-2</v>
      </c>
    </row>
    <row r="266" spans="1:6" ht="14.25" thickBot="1">
      <c r="A266" s="1849" t="s">
        <v>1415</v>
      </c>
      <c r="B266" s="1853" t="s">
        <v>1290</v>
      </c>
      <c r="C266" s="1854">
        <v>0.14699999999999999</v>
      </c>
      <c r="D266" s="1854">
        <v>0.14699999999999999</v>
      </c>
      <c r="E266" s="1854">
        <v>0.15</v>
      </c>
      <c r="F266" s="1855">
        <v>0.14299999999999999</v>
      </c>
    </row>
    <row r="267" spans="1:6" ht="14.25" thickBot="1">
      <c r="A267" s="1849" t="s">
        <v>1415</v>
      </c>
      <c r="B267" s="1853" t="s">
        <v>1297</v>
      </c>
      <c r="C267" s="1854">
        <v>0.14199999999999999</v>
      </c>
      <c r="D267" s="1854">
        <v>0.14299999999999999</v>
      </c>
      <c r="E267" s="1854">
        <v>0.15</v>
      </c>
      <c r="F267" s="1862"/>
    </row>
    <row r="268" spans="1:6" ht="14.25" thickBot="1">
      <c r="A268" s="1849" t="s">
        <v>1415</v>
      </c>
      <c r="B268" s="1853" t="s">
        <v>2182</v>
      </c>
      <c r="C268" s="1854">
        <v>0.15</v>
      </c>
      <c r="D268" s="1854">
        <v>0.15</v>
      </c>
      <c r="E268" s="1854">
        <v>0.15</v>
      </c>
      <c r="F268" s="1855">
        <v>0.13</v>
      </c>
    </row>
    <row r="269" spans="1:6" ht="14.25" thickBot="1">
      <c r="A269" s="1849" t="s">
        <v>1415</v>
      </c>
      <c r="B269" s="1853" t="s">
        <v>1311</v>
      </c>
      <c r="C269" s="1854">
        <v>0.15</v>
      </c>
      <c r="D269" s="1854">
        <v>0.15</v>
      </c>
      <c r="E269" s="1854">
        <v>0.15</v>
      </c>
      <c r="F269" s="1855">
        <v>0.14299999999999999</v>
      </c>
    </row>
    <row r="270" spans="1:6" ht="14.25" thickBot="1">
      <c r="A270" s="1849" t="s">
        <v>1415</v>
      </c>
      <c r="B270" s="1853" t="s">
        <v>1318</v>
      </c>
      <c r="C270" s="1854">
        <v>0.14499999999999999</v>
      </c>
      <c r="D270" s="1854">
        <v>0.14499999999999999</v>
      </c>
      <c r="E270" s="1854">
        <v>0.15</v>
      </c>
      <c r="F270" s="1855">
        <v>0.14699999999999999</v>
      </c>
    </row>
    <row r="271" spans="1:6" ht="14.25" thickBot="1">
      <c r="A271" s="1849" t="s">
        <v>1415</v>
      </c>
      <c r="B271" s="1853" t="s">
        <v>1325</v>
      </c>
      <c r="C271" s="1854">
        <v>0.15</v>
      </c>
      <c r="D271" s="1854">
        <v>0.15</v>
      </c>
      <c r="E271" s="1854">
        <v>0.15</v>
      </c>
      <c r="F271" s="1855">
        <v>0.13800000000000001</v>
      </c>
    </row>
    <row r="272" spans="1:6" ht="14.25" thickBot="1">
      <c r="A272" s="1849" t="s">
        <v>1415</v>
      </c>
      <c r="B272" s="1853" t="s">
        <v>1332</v>
      </c>
      <c r="C272" s="1863"/>
      <c r="D272" s="1863"/>
      <c r="E272" s="1863"/>
      <c r="F272" s="1855">
        <v>0.14000000000000001</v>
      </c>
    </row>
    <row r="273" spans="1:6" ht="14.25" thickBot="1">
      <c r="A273" s="1849" t="s">
        <v>1415</v>
      </c>
      <c r="B273" s="1853" t="s">
        <v>2183</v>
      </c>
      <c r="C273" s="1854">
        <v>0.14199999999999999</v>
      </c>
      <c r="D273" s="1854">
        <v>0.14299999999999999</v>
      </c>
      <c r="E273" s="1854">
        <v>0.15</v>
      </c>
      <c r="F273" s="1855">
        <v>0.1</v>
      </c>
    </row>
    <row r="274" spans="1:6" ht="14.25" thickBot="1">
      <c r="A274" s="1849" t="s">
        <v>1415</v>
      </c>
      <c r="B274" s="1853" t="s">
        <v>2184</v>
      </c>
      <c r="C274" s="1854">
        <v>0.14799999999999999</v>
      </c>
      <c r="D274" s="1854">
        <v>0.14799999999999999</v>
      </c>
      <c r="E274" s="1854">
        <v>0.15</v>
      </c>
      <c r="F274" s="1855">
        <v>6.7000000000000004E-2</v>
      </c>
    </row>
    <row r="275" spans="1:6" ht="14.25" thickBot="1">
      <c r="A275" s="1849" t="s">
        <v>1415</v>
      </c>
      <c r="B275" s="1853" t="s">
        <v>2185</v>
      </c>
      <c r="C275" s="1854">
        <v>0.15</v>
      </c>
      <c r="D275" s="1854">
        <v>0.15</v>
      </c>
      <c r="E275" s="1854">
        <v>0.15</v>
      </c>
      <c r="F275" s="1855">
        <v>0.15</v>
      </c>
    </row>
    <row r="276" spans="1:6" ht="14.25" thickBot="1">
      <c r="A276" s="1849" t="s">
        <v>1415</v>
      </c>
      <c r="B276" s="1853" t="s">
        <v>2186</v>
      </c>
      <c r="C276" s="1854">
        <v>0.14499999999999999</v>
      </c>
      <c r="D276" s="1854">
        <v>0.14299999999999999</v>
      </c>
      <c r="E276" s="1854">
        <v>0.15</v>
      </c>
      <c r="F276" s="1855">
        <v>5.8999999999999997E-2</v>
      </c>
    </row>
    <row r="277" spans="1:6" ht="14.25" thickBot="1">
      <c r="A277" s="1849" t="s">
        <v>1415</v>
      </c>
      <c r="B277" s="1853" t="s">
        <v>2187</v>
      </c>
      <c r="C277" s="1854">
        <v>0.15</v>
      </c>
      <c r="D277" s="1854">
        <v>0.15</v>
      </c>
      <c r="E277" s="1854">
        <v>0.15</v>
      </c>
      <c r="F277" s="1855">
        <v>0.121</v>
      </c>
    </row>
    <row r="278" spans="1:6" ht="14.25" thickBot="1">
      <c r="A278" s="1849" t="s">
        <v>1415</v>
      </c>
      <c r="B278" s="1853" t="s">
        <v>2188</v>
      </c>
      <c r="C278" s="1854">
        <v>0.15</v>
      </c>
      <c r="D278" s="1854">
        <v>0.15</v>
      </c>
      <c r="E278" s="1854">
        <v>0.15</v>
      </c>
      <c r="F278" s="1855">
        <v>0.13800000000000001</v>
      </c>
    </row>
    <row r="279" spans="1:6" ht="24.75" thickBot="1">
      <c r="A279" s="1849" t="s">
        <v>1415</v>
      </c>
      <c r="B279" s="1853" t="s">
        <v>2189</v>
      </c>
      <c r="C279" s="1863"/>
      <c r="D279" s="1863"/>
      <c r="E279" s="1863"/>
      <c r="F279" s="1855">
        <v>0.05</v>
      </c>
    </row>
    <row r="280" spans="1:6" ht="24.75" thickBot="1">
      <c r="A280" s="1849" t="s">
        <v>1415</v>
      </c>
      <c r="B280" s="1853" t="s">
        <v>2190</v>
      </c>
      <c r="C280" s="1863"/>
      <c r="D280" s="1863"/>
      <c r="E280" s="1863"/>
      <c r="F280" s="1855">
        <v>0.05</v>
      </c>
    </row>
    <row r="281" spans="1:6" ht="24.75" thickBot="1">
      <c r="A281" s="1849" t="s">
        <v>1415</v>
      </c>
      <c r="B281" s="1853" t="s">
        <v>2191</v>
      </c>
      <c r="C281" s="1863"/>
      <c r="D281" s="1863"/>
      <c r="E281" s="1863"/>
      <c r="F281" s="1855">
        <v>0.05</v>
      </c>
    </row>
    <row r="282" spans="1:6" ht="24.75" thickBot="1">
      <c r="A282" s="1849" t="s">
        <v>1415</v>
      </c>
      <c r="B282" s="1853" t="s">
        <v>2192</v>
      </c>
      <c r="C282" s="1863"/>
      <c r="D282" s="1863"/>
      <c r="E282" s="1863"/>
      <c r="F282" s="1855">
        <v>0.05</v>
      </c>
    </row>
    <row r="283" spans="1:6" ht="24.75" thickBot="1">
      <c r="A283" s="1849" t="s">
        <v>1415</v>
      </c>
      <c r="B283" s="1853" t="s">
        <v>2193</v>
      </c>
      <c r="C283" s="1863"/>
      <c r="D283" s="1863"/>
      <c r="E283" s="1863"/>
      <c r="F283" s="1855">
        <v>0.05</v>
      </c>
    </row>
    <row r="284" spans="1:6" ht="24.75" thickBot="1">
      <c r="A284" s="1849" t="s">
        <v>1415</v>
      </c>
      <c r="B284" s="1853" t="s">
        <v>2194</v>
      </c>
      <c r="C284" s="1863"/>
      <c r="D284" s="1863"/>
      <c r="E284" s="1863"/>
      <c r="F284" s="1855">
        <v>0.05</v>
      </c>
    </row>
    <row r="285" spans="1:6" ht="24.75" thickBot="1">
      <c r="A285" s="1849" t="s">
        <v>1415</v>
      </c>
      <c r="B285" s="1853" t="s">
        <v>2195</v>
      </c>
      <c r="C285" s="1863"/>
      <c r="D285" s="1863"/>
      <c r="E285" s="1863"/>
      <c r="F285" s="1855">
        <v>0.05</v>
      </c>
    </row>
    <row r="286" spans="1:6" ht="24.75" thickBot="1">
      <c r="A286" s="1849" t="s">
        <v>1415</v>
      </c>
      <c r="B286" s="1853" t="s">
        <v>2196</v>
      </c>
      <c r="C286" s="1863"/>
      <c r="D286" s="1863"/>
      <c r="E286" s="1863"/>
      <c r="F286" s="1855">
        <v>0.05</v>
      </c>
    </row>
    <row r="287" spans="1:6" ht="24.75" thickBot="1">
      <c r="A287" s="1849" t="s">
        <v>1415</v>
      </c>
      <c r="B287" s="1853" t="s">
        <v>2197</v>
      </c>
      <c r="C287" s="1863"/>
      <c r="D287" s="1863"/>
      <c r="E287" s="1863"/>
      <c r="F287" s="1855">
        <v>0.05</v>
      </c>
    </row>
    <row r="288" spans="1:6" ht="24.75" thickBot="1">
      <c r="A288" s="1849" t="s">
        <v>1415</v>
      </c>
      <c r="B288" s="1853" t="s">
        <v>2198</v>
      </c>
      <c r="C288" s="1863"/>
      <c r="D288" s="1863"/>
      <c r="E288" s="1863"/>
      <c r="F288" s="1855">
        <v>0.05</v>
      </c>
    </row>
    <row r="289" spans="1:6" ht="24.75" thickBot="1">
      <c r="A289" s="1857" t="s">
        <v>1415</v>
      </c>
      <c r="B289" s="1864" t="s">
        <v>2199</v>
      </c>
      <c r="C289" s="1860"/>
      <c r="D289" s="1860"/>
      <c r="E289" s="1860"/>
      <c r="F289" s="1865">
        <v>0.05</v>
      </c>
    </row>
    <row r="290" spans="1:6" ht="14.25" thickBot="1">
      <c r="A290" s="1849" t="s">
        <v>1419</v>
      </c>
      <c r="B290" s="1850" t="s">
        <v>2200</v>
      </c>
      <c r="C290" s="1851">
        <v>0.15</v>
      </c>
      <c r="D290" s="1851">
        <v>0.15</v>
      </c>
      <c r="E290" s="1851">
        <v>0.15</v>
      </c>
      <c r="F290" s="1873"/>
    </row>
    <row r="291" spans="1:6" ht="14.25" thickBot="1">
      <c r="A291" s="1849" t="s">
        <v>1419</v>
      </c>
      <c r="B291" s="1853" t="s">
        <v>1079</v>
      </c>
      <c r="C291" s="1854">
        <v>0.15</v>
      </c>
      <c r="D291" s="1854">
        <v>0.15</v>
      </c>
      <c r="E291" s="1854">
        <v>0.15</v>
      </c>
      <c r="F291" s="1862"/>
    </row>
    <row r="292" spans="1:6" ht="14.25" thickBot="1">
      <c r="A292" s="1849" t="s">
        <v>1419</v>
      </c>
      <c r="B292" s="1853" t="s">
        <v>2201</v>
      </c>
      <c r="C292" s="1854">
        <v>0.15</v>
      </c>
      <c r="D292" s="1854">
        <v>0.15</v>
      </c>
      <c r="E292" s="1854">
        <v>0.15</v>
      </c>
      <c r="F292" s="1855">
        <v>0.14699999999999999</v>
      </c>
    </row>
    <row r="293" spans="1:6" ht="14.25" thickBot="1">
      <c r="A293" s="1849" t="s">
        <v>1419</v>
      </c>
      <c r="B293" s="1853" t="s">
        <v>2202</v>
      </c>
      <c r="C293" s="1863"/>
      <c r="D293" s="1863"/>
      <c r="E293" s="1863"/>
      <c r="F293" s="1855">
        <v>0.1</v>
      </c>
    </row>
    <row r="294" spans="1:6" ht="14.25" thickBot="1">
      <c r="A294" s="1849" t="s">
        <v>1419</v>
      </c>
      <c r="B294" s="1853" t="s">
        <v>2203</v>
      </c>
      <c r="C294" s="1854">
        <v>0.15</v>
      </c>
      <c r="D294" s="1854">
        <v>0.15</v>
      </c>
      <c r="E294" s="1854">
        <v>0.15</v>
      </c>
      <c r="F294" s="1855">
        <v>0.15</v>
      </c>
    </row>
    <row r="295" spans="1:6" ht="14.25" thickBot="1">
      <c r="A295" s="1849" t="s">
        <v>1419</v>
      </c>
      <c r="B295" s="1853" t="s">
        <v>1120</v>
      </c>
      <c r="C295" s="1854">
        <v>0.15</v>
      </c>
      <c r="D295" s="1854">
        <v>0.15</v>
      </c>
      <c r="E295" s="1854">
        <v>0.15</v>
      </c>
      <c r="F295" s="1855">
        <v>0.15</v>
      </c>
    </row>
    <row r="296" spans="1:6" ht="14.25" thickBot="1">
      <c r="A296" s="1849" t="s">
        <v>1419</v>
      </c>
      <c r="B296" s="1853" t="s">
        <v>2204</v>
      </c>
      <c r="C296" s="1854">
        <v>0.15</v>
      </c>
      <c r="D296" s="1854">
        <v>0.15</v>
      </c>
      <c r="E296" s="1854">
        <v>0.15</v>
      </c>
      <c r="F296" s="1855">
        <v>0.15</v>
      </c>
    </row>
    <row r="297" spans="1:6" ht="14.25" thickBot="1">
      <c r="A297" s="1849" t="s">
        <v>1419</v>
      </c>
      <c r="B297" s="1853" t="s">
        <v>2205</v>
      </c>
      <c r="C297" s="1854">
        <v>0.14799999999999999</v>
      </c>
      <c r="D297" s="1854">
        <v>0.14899999999999999</v>
      </c>
      <c r="E297" s="1854">
        <v>0.15</v>
      </c>
      <c r="F297" s="1855">
        <v>0.13700000000000001</v>
      </c>
    </row>
    <row r="298" spans="1:6" ht="14.25" thickBot="1">
      <c r="A298" s="1849" t="s">
        <v>1419</v>
      </c>
      <c r="B298" s="1853" t="s">
        <v>1153</v>
      </c>
      <c r="C298" s="1854">
        <v>0.13400000000000001</v>
      </c>
      <c r="D298" s="1854">
        <v>0.13400000000000001</v>
      </c>
      <c r="E298" s="1854">
        <v>0.14499999999999999</v>
      </c>
      <c r="F298" s="1855">
        <v>0.14799999999999999</v>
      </c>
    </row>
    <row r="299" spans="1:6" ht="14.25" thickBot="1">
      <c r="A299" s="1849" t="s">
        <v>1419</v>
      </c>
      <c r="B299" s="1853" t="s">
        <v>1165</v>
      </c>
      <c r="C299" s="1854">
        <v>0.15</v>
      </c>
      <c r="D299" s="1854">
        <v>0.15</v>
      </c>
      <c r="E299" s="1854">
        <v>0.15</v>
      </c>
      <c r="F299" s="1862"/>
    </row>
    <row r="300" spans="1:6" ht="14.25" thickBot="1">
      <c r="A300" s="1849" t="s">
        <v>1419</v>
      </c>
      <c r="B300" s="1853" t="s">
        <v>2206</v>
      </c>
      <c r="C300" s="1854">
        <v>0.15</v>
      </c>
      <c r="D300" s="1854">
        <v>0.15</v>
      </c>
      <c r="E300" s="1854">
        <v>0.15</v>
      </c>
      <c r="F300" s="1855">
        <v>0.15</v>
      </c>
    </row>
    <row r="301" spans="1:6" ht="14.25" thickBot="1">
      <c r="A301" s="1849" t="s">
        <v>1419</v>
      </c>
      <c r="B301" s="1853" t="s">
        <v>1185</v>
      </c>
      <c r="C301" s="1854">
        <v>0.15</v>
      </c>
      <c r="D301" s="1854">
        <v>0.15</v>
      </c>
      <c r="E301" s="1854">
        <v>0.15</v>
      </c>
      <c r="F301" s="1862"/>
    </row>
    <row r="302" spans="1:6" ht="14.25" thickBot="1">
      <c r="A302" s="1849" t="s">
        <v>1419</v>
      </c>
      <c r="B302" s="1853" t="s">
        <v>2207</v>
      </c>
      <c r="C302" s="1854">
        <v>0.15</v>
      </c>
      <c r="D302" s="1854">
        <v>0.15</v>
      </c>
      <c r="E302" s="1854">
        <v>0.15</v>
      </c>
      <c r="F302" s="1855">
        <v>0.15</v>
      </c>
    </row>
    <row r="303" spans="1:6" ht="14.25" thickBot="1">
      <c r="A303" s="1849" t="s">
        <v>1419</v>
      </c>
      <c r="B303" s="1853" t="s">
        <v>1205</v>
      </c>
      <c r="C303" s="1854">
        <v>0.15</v>
      </c>
      <c r="D303" s="1854">
        <v>0.15</v>
      </c>
      <c r="E303" s="1854">
        <v>0.15</v>
      </c>
      <c r="F303" s="1855">
        <v>0.15</v>
      </c>
    </row>
    <row r="304" spans="1:6" ht="14.25" thickBot="1">
      <c r="A304" s="1849" t="s">
        <v>1419</v>
      </c>
      <c r="B304" s="1853" t="s">
        <v>1215</v>
      </c>
      <c r="C304" s="1854">
        <v>0.15</v>
      </c>
      <c r="D304" s="1854">
        <v>0.15</v>
      </c>
      <c r="E304" s="1854">
        <v>0.15</v>
      </c>
      <c r="F304" s="1862"/>
    </row>
    <row r="305" spans="1:6" ht="14.25" thickBot="1">
      <c r="A305" s="1849" t="s">
        <v>1419</v>
      </c>
      <c r="B305" s="1853" t="s">
        <v>2208</v>
      </c>
      <c r="C305" s="1854">
        <v>0.15</v>
      </c>
      <c r="D305" s="1854">
        <v>0.15</v>
      </c>
      <c r="E305" s="1854">
        <v>0.15</v>
      </c>
      <c r="F305" s="1855">
        <v>0.14000000000000001</v>
      </c>
    </row>
    <row r="306" spans="1:6" ht="14.25" thickBot="1">
      <c r="A306" s="1849" t="s">
        <v>1419</v>
      </c>
      <c r="B306" s="1853" t="s">
        <v>1235</v>
      </c>
      <c r="C306" s="1854">
        <v>0.15</v>
      </c>
      <c r="D306" s="1854">
        <v>0.15</v>
      </c>
      <c r="E306" s="1854">
        <v>0.15</v>
      </c>
      <c r="F306" s="1862"/>
    </row>
    <row r="307" spans="1:6" ht="14.25" thickBot="1">
      <c r="A307" s="1849" t="s">
        <v>1419</v>
      </c>
      <c r="B307" s="1853" t="s">
        <v>2209</v>
      </c>
      <c r="C307" s="1854">
        <v>0.15</v>
      </c>
      <c r="D307" s="1854">
        <v>0.15</v>
      </c>
      <c r="E307" s="1854">
        <v>0.15</v>
      </c>
      <c r="F307" s="1855">
        <v>0.14299999999999999</v>
      </c>
    </row>
    <row r="308" spans="1:6" ht="14.25" thickBot="1">
      <c r="A308" s="1849" t="s">
        <v>1419</v>
      </c>
      <c r="B308" s="1853" t="s">
        <v>1255</v>
      </c>
      <c r="C308" s="1854">
        <v>0.15</v>
      </c>
      <c r="D308" s="1854">
        <v>0.15</v>
      </c>
      <c r="E308" s="1854">
        <v>0.15</v>
      </c>
      <c r="F308" s="1855">
        <v>0.15</v>
      </c>
    </row>
    <row r="309" spans="1:6" ht="14.25" thickBot="1">
      <c r="A309" s="1849" t="s">
        <v>1419</v>
      </c>
      <c r="B309" s="1853" t="s">
        <v>1265</v>
      </c>
      <c r="C309" s="1854">
        <v>0.15</v>
      </c>
      <c r="D309" s="1854">
        <v>0.15</v>
      </c>
      <c r="E309" s="1854">
        <v>0.15</v>
      </c>
      <c r="F309" s="1862"/>
    </row>
    <row r="310" spans="1:6" ht="14.25" thickBot="1">
      <c r="A310" s="1849" t="s">
        <v>1419</v>
      </c>
      <c r="B310" s="1853" t="s">
        <v>2210</v>
      </c>
      <c r="C310" s="1854">
        <v>0.15</v>
      </c>
      <c r="D310" s="1854">
        <v>0.15</v>
      </c>
      <c r="E310" s="1854">
        <v>0.15</v>
      </c>
      <c r="F310" s="1855">
        <v>0.13700000000000001</v>
      </c>
    </row>
    <row r="311" spans="1:6" ht="14.25" thickBot="1">
      <c r="A311" s="1849" t="s">
        <v>1419</v>
      </c>
      <c r="B311" s="1853" t="s">
        <v>2211</v>
      </c>
      <c r="C311" s="1854">
        <v>0.15</v>
      </c>
      <c r="D311" s="1854">
        <v>0.15</v>
      </c>
      <c r="E311" s="1854">
        <v>0.15</v>
      </c>
      <c r="F311" s="1855">
        <v>0.15</v>
      </c>
    </row>
    <row r="312" spans="1:6" ht="14.25" thickBot="1">
      <c r="A312" s="1849" t="s">
        <v>1419</v>
      </c>
      <c r="B312" s="1853" t="s">
        <v>1291</v>
      </c>
      <c r="C312" s="1854">
        <v>0.15</v>
      </c>
      <c r="D312" s="1854">
        <v>0.15</v>
      </c>
      <c r="E312" s="1854">
        <v>0.15</v>
      </c>
      <c r="F312" s="1855">
        <v>0.1</v>
      </c>
    </row>
    <row r="313" spans="1:6" ht="14.25" thickBot="1">
      <c r="A313" s="1849" t="s">
        <v>1419</v>
      </c>
      <c r="B313" s="1853" t="s">
        <v>2212</v>
      </c>
      <c r="C313" s="1854">
        <v>0.15</v>
      </c>
      <c r="D313" s="1854">
        <v>0.15</v>
      </c>
      <c r="E313" s="1854">
        <v>0.15</v>
      </c>
      <c r="F313" s="1855">
        <v>0.15</v>
      </c>
    </row>
    <row r="314" spans="1:6" ht="24.75" thickBot="1">
      <c r="A314" s="1849" t="s">
        <v>1419</v>
      </c>
      <c r="B314" s="1853" t="s">
        <v>2213</v>
      </c>
      <c r="C314" s="1863"/>
      <c r="D314" s="1863"/>
      <c r="E314" s="1863"/>
      <c r="F314" s="1855">
        <v>0.05</v>
      </c>
    </row>
    <row r="315" spans="1:6" ht="24.75" thickBot="1">
      <c r="A315" s="1849" t="s">
        <v>1419</v>
      </c>
      <c r="B315" s="1853" t="s">
        <v>2214</v>
      </c>
      <c r="C315" s="1863"/>
      <c r="D315" s="1863"/>
      <c r="E315" s="1863"/>
      <c r="F315" s="1855">
        <v>0.05</v>
      </c>
    </row>
    <row r="316" spans="1:6" ht="24.75" thickBot="1">
      <c r="A316" s="1857" t="s">
        <v>1419</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1107</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1176</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1196</v>
      </c>
      <c r="C328" s="1854">
        <v>0.15</v>
      </c>
      <c r="D328" s="1854">
        <v>0.15</v>
      </c>
      <c r="E328" s="1854">
        <v>0.15</v>
      </c>
      <c r="F328" s="1855">
        <v>0.14099999999999999</v>
      </c>
    </row>
    <row r="329" spans="1:6" ht="14.25" thickBot="1">
      <c r="A329" s="1849" t="s">
        <v>2216</v>
      </c>
      <c r="B329" s="1853" t="s">
        <v>1206</v>
      </c>
      <c r="C329" s="1854">
        <v>0.15</v>
      </c>
      <c r="D329" s="1854">
        <v>0.15</v>
      </c>
      <c r="E329" s="1854">
        <v>0.15</v>
      </c>
      <c r="F329" s="1855">
        <v>0.15</v>
      </c>
    </row>
    <row r="330" spans="1:6" ht="14.25" thickBot="1">
      <c r="A330" s="1849" t="s">
        <v>2216</v>
      </c>
      <c r="B330" s="1853" t="s">
        <v>1216</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1236</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1256</v>
      </c>
      <c r="C334" s="1854">
        <v>0.15</v>
      </c>
      <c r="D334" s="1854">
        <v>0.15</v>
      </c>
      <c r="E334" s="1854">
        <v>0.15</v>
      </c>
      <c r="F334" s="1855">
        <v>0.15</v>
      </c>
    </row>
    <row r="335" spans="1:6" ht="14.25" thickBot="1">
      <c r="A335" s="1849" t="s">
        <v>2216</v>
      </c>
      <c r="B335" s="1853" t="s">
        <v>1266</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1284</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2946</v>
      </c>
      <c r="B1" s="3121"/>
      <c r="C1" s="3121"/>
      <c r="D1" s="3121"/>
      <c r="E1" s="3121"/>
      <c r="F1" s="3121"/>
    </row>
    <row r="2" spans="1:6" ht="14.25">
      <c r="A2" s="3122" t="s">
        <v>2941</v>
      </c>
      <c r="B2" s="3123" t="e">
        <f ca="1">SUMIF(B7:B14,"&lt;&gt;#ref!",B7:B14)</f>
        <v>#DIV/0!</v>
      </c>
      <c r="C2" s="3122" t="s">
        <v>2942</v>
      </c>
      <c r="D2" s="3121"/>
      <c r="E2" s="3121"/>
      <c r="F2" s="3121"/>
    </row>
    <row r="3" spans="1:6" ht="14.25">
      <c r="A3" s="3122" t="s">
        <v>2976</v>
      </c>
      <c r="B3" s="3123" t="e">
        <f ca="1">ROUND(B2*10000/E3,0)</f>
        <v>#DIV/0!</v>
      </c>
      <c r="C3" s="3122" t="s">
        <v>2078</v>
      </c>
      <c r="D3" s="3122" t="s">
        <v>2943</v>
      </c>
      <c r="E3" s="3123">
        <f ca="1">SUMIF(E7:E14,"&lt;&gt;#ref!",E7:E14)</f>
        <v>0</v>
      </c>
      <c r="F3" s="3121"/>
    </row>
    <row r="4" spans="1:6" ht="14.25">
      <c r="A4" s="3122" t="s">
        <v>2950</v>
      </c>
      <c r="B4" s="3123" t="e">
        <f ca="1">ROUND(B2*10000/E4,0)</f>
        <v>#DIV/0!</v>
      </c>
      <c r="C4" s="3122" t="s">
        <v>2078</v>
      </c>
      <c r="D4" s="3122" t="s">
        <v>2951</v>
      </c>
      <c r="E4" s="3123">
        <f ca="1">SUMIF(F7:F14,"&lt;&gt;#ref!",F7:F14)</f>
        <v>0</v>
      </c>
      <c r="F4" s="3121"/>
    </row>
    <row r="5" spans="1:6" ht="14.25">
      <c r="A5" s="3124"/>
      <c r="B5" s="1875"/>
      <c r="C5" s="1875"/>
      <c r="D5" s="1875"/>
      <c r="E5" s="1875"/>
      <c r="F5" s="3121"/>
    </row>
    <row r="6" spans="1:6" ht="28.5">
      <c r="A6" s="3125" t="s">
        <v>2947</v>
      </c>
      <c r="B6" s="3122" t="s">
        <v>2944</v>
      </c>
      <c r="C6" s="3123"/>
      <c r="D6" s="1875"/>
      <c r="E6" s="3122" t="s">
        <v>2945</v>
      </c>
      <c r="F6" s="3122" t="s">
        <v>2949</v>
      </c>
    </row>
    <row r="7" spans="1:6" ht="14.25">
      <c r="A7" s="257" t="s">
        <v>2948</v>
      </c>
      <c r="B7" s="3126" t="e">
        <f ca="1">SUMIF(INDIRECT("'"&amp;A7&amp;"'"&amp;"!A:A"),"总价",INDIRECT("'"&amp;A7&amp;"'"&amp;"!B:B"))</f>
        <v>#DIV/0!</v>
      </c>
      <c r="C7" s="3122" t="s">
        <v>2942</v>
      </c>
      <c r="D7" s="1875"/>
      <c r="E7" s="3127">
        <f ca="1">SUMIF(INDIRECT("'"&amp;A7&amp;"'"&amp;"!C:C"),"建筑面积",INDIRECT("'"&amp;A7&amp;"'"&amp;"!D:D"))</f>
        <v>0</v>
      </c>
      <c r="F7" s="3127">
        <f ca="1">SUMIF(INDIRECT("'"&amp;A7&amp;"'"&amp;"!E:E"),"土地面积",INDIRECT("'"&amp;A7&amp;"'"&amp;"!F:F"))</f>
        <v>0</v>
      </c>
    </row>
    <row r="8" spans="1:6" ht="14.25">
      <c r="A8" s="257"/>
      <c r="B8" s="3126" t="e">
        <f t="shared" ref="B8:B14" ca="1" si="0">SUMIF(INDIRECT("'"&amp;A8&amp;"'"&amp;"!A:A"),"总价",INDIRECT("'"&amp;A8&amp;"'"&amp;"!B:B"))</f>
        <v>#REF!</v>
      </c>
      <c r="C8" s="3122" t="s">
        <v>2942</v>
      </c>
      <c r="D8" s="1875"/>
      <c r="E8" s="3127" t="e">
        <f t="shared" ref="E8:E14" ca="1" si="1">SUMIF(INDIRECT("'"&amp;A8&amp;"'"&amp;"!C:C"),"建筑面积",INDIRECT("'"&amp;A8&amp;"'"&amp;"!D:D"))</f>
        <v>#REF!</v>
      </c>
      <c r="F8" s="3127" t="e">
        <f t="shared" ref="F8:F14" ca="1" si="2">SUMIF(INDIRECT("'"&amp;A8&amp;"'"&amp;"!E:E"),"土地面积",INDIRECT("'"&amp;A8&amp;"'"&amp;"!F:F"))</f>
        <v>#REF!</v>
      </c>
    </row>
    <row r="9" spans="1:6" ht="14.25">
      <c r="A9" s="257"/>
      <c r="B9" s="3126" t="e">
        <f t="shared" ca="1" si="0"/>
        <v>#REF!</v>
      </c>
      <c r="C9" s="3122" t="s">
        <v>2942</v>
      </c>
      <c r="D9" s="1875"/>
      <c r="E9" s="3127" t="e">
        <f t="shared" ca="1" si="1"/>
        <v>#REF!</v>
      </c>
      <c r="F9" s="3127" t="e">
        <f t="shared" ca="1" si="2"/>
        <v>#REF!</v>
      </c>
    </row>
    <row r="10" spans="1:6" ht="14.25">
      <c r="A10" s="257"/>
      <c r="B10" s="3126" t="e">
        <f t="shared" ca="1" si="0"/>
        <v>#REF!</v>
      </c>
      <c r="C10" s="3122" t="s">
        <v>2942</v>
      </c>
      <c r="D10" s="1875"/>
      <c r="E10" s="3127" t="e">
        <f t="shared" ca="1" si="1"/>
        <v>#REF!</v>
      </c>
      <c r="F10" s="3127" t="e">
        <f t="shared" ca="1" si="2"/>
        <v>#REF!</v>
      </c>
    </row>
    <row r="11" spans="1:6" ht="14.25">
      <c r="A11" s="257"/>
      <c r="B11" s="3126" t="e">
        <f t="shared" ca="1" si="0"/>
        <v>#REF!</v>
      </c>
      <c r="C11" s="3122" t="s">
        <v>2942</v>
      </c>
      <c r="D11" s="1875"/>
      <c r="E11" s="3127" t="e">
        <f t="shared" ca="1" si="1"/>
        <v>#REF!</v>
      </c>
      <c r="F11" s="3127" t="e">
        <f t="shared" ca="1" si="2"/>
        <v>#REF!</v>
      </c>
    </row>
    <row r="12" spans="1:6" ht="14.25">
      <c r="A12" s="257"/>
      <c r="B12" s="3126" t="e">
        <f t="shared" ca="1" si="0"/>
        <v>#REF!</v>
      </c>
      <c r="C12" s="3122" t="s">
        <v>2942</v>
      </c>
      <c r="D12" s="1875"/>
      <c r="E12" s="3127" t="e">
        <f t="shared" ca="1" si="1"/>
        <v>#REF!</v>
      </c>
      <c r="F12" s="3127" t="e">
        <f t="shared" ca="1" si="2"/>
        <v>#REF!</v>
      </c>
    </row>
    <row r="13" spans="1:6" ht="14.25">
      <c r="A13" s="257"/>
      <c r="B13" s="3126" t="e">
        <f t="shared" ca="1" si="0"/>
        <v>#REF!</v>
      </c>
      <c r="C13" s="3122" t="s">
        <v>2942</v>
      </c>
      <c r="D13" s="1875"/>
      <c r="E13" s="3127" t="e">
        <f t="shared" ca="1" si="1"/>
        <v>#REF!</v>
      </c>
      <c r="F13" s="3127" t="e">
        <f t="shared" ca="1" si="2"/>
        <v>#REF!</v>
      </c>
    </row>
    <row r="14" spans="1:6" ht="14.25">
      <c r="A14" s="3120"/>
      <c r="B14" s="3126" t="e">
        <f t="shared" ca="1" si="0"/>
        <v>#REF!</v>
      </c>
      <c r="C14" s="3122" t="s">
        <v>2942</v>
      </c>
      <c r="D14" s="1875"/>
      <c r="E14" s="3127" t="e">
        <f t="shared" ca="1" si="1"/>
        <v>#REF!</v>
      </c>
      <c r="F14" s="312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3" t="s">
        <v>2375</v>
      </c>
      <c r="F1" s="2404">
        <f ca="1">J54</f>
        <v>0</v>
      </c>
      <c r="G1" s="771">
        <f>MATCH(C1,'数据-取费表'!A6:A16,0)+5</f>
        <v>12</v>
      </c>
      <c r="H1" s="1345"/>
      <c r="I1" s="2045"/>
      <c r="J1" s="2045"/>
      <c r="K1" s="2046"/>
      <c r="L1" s="2045"/>
      <c r="M1" s="2045"/>
      <c r="N1" s="2047"/>
      <c r="O1" s="2047"/>
      <c r="P1" s="2047"/>
      <c r="Q1" s="2047"/>
      <c r="R1" s="2047"/>
      <c r="S1" s="2047"/>
      <c r="T1" s="2047"/>
      <c r="U1" s="2047"/>
      <c r="V1" s="2047"/>
      <c r="W1" s="2047"/>
      <c r="X1" s="2047"/>
      <c r="Y1" s="2047"/>
    </row>
    <row r="2" spans="1:25" ht="18" customHeight="1">
      <c r="A2" s="1638" t="s">
        <v>629</v>
      </c>
      <c r="B2" s="772">
        <f ca="1">IF(ISERROR(C45+J31),0,C45+J31)</f>
        <v>0</v>
      </c>
      <c r="C2" s="1346"/>
      <c r="D2" s="2049"/>
      <c r="E2" s="2050"/>
      <c r="F2" s="2050"/>
      <c r="G2" s="1584"/>
      <c r="H2" s="1358"/>
      <c r="I2" s="2051"/>
      <c r="J2" s="2051"/>
      <c r="K2" s="2052"/>
      <c r="L2" s="2051"/>
      <c r="M2" s="2051"/>
    </row>
    <row r="3" spans="1:25" ht="18" customHeight="1">
      <c r="A3" s="1639" t="s">
        <v>1686</v>
      </c>
      <c r="B3" s="1385">
        <f ca="1">ROUND(B2*10000/'数据-汇总表'!E3,0)</f>
        <v>0</v>
      </c>
      <c r="C3" s="1346"/>
      <c r="D3" s="2049"/>
      <c r="E3" s="2050"/>
      <c r="F3" s="2050"/>
      <c r="G3" s="1584"/>
      <c r="H3" s="773" t="s">
        <v>695</v>
      </c>
      <c r="I3" s="2051"/>
      <c r="J3" s="2051"/>
      <c r="K3" s="2052"/>
      <c r="L3" s="2051"/>
      <c r="M3" s="2051"/>
    </row>
    <row r="4" spans="1:25" ht="18" customHeight="1">
      <c r="A4" s="1640" t="s">
        <v>696</v>
      </c>
      <c r="B4" s="1347">
        <f ca="1">ROUND(B2*10000/'数据-汇总表'!D3,0)</f>
        <v>0</v>
      </c>
      <c r="C4" s="425"/>
      <c r="D4" s="2049"/>
      <c r="E4" s="2050"/>
      <c r="F4" s="2050"/>
      <c r="G4" s="1584"/>
      <c r="H4" s="773"/>
      <c r="I4" s="2051"/>
      <c r="J4" s="2051"/>
      <c r="K4" s="2052"/>
      <c r="L4" s="2051"/>
      <c r="M4" s="2051"/>
    </row>
    <row r="5" spans="1:25" ht="18" customHeight="1" thickBot="1">
      <c r="A5" s="1641"/>
      <c r="B5" s="427">
        <f ca="1">ROUND(B2/('数据-汇总表'!D3/666.67),0)</f>
        <v>0</v>
      </c>
      <c r="C5" s="428" t="s">
        <v>697</v>
      </c>
      <c r="D5" s="2049"/>
      <c r="E5" s="2050"/>
      <c r="F5" s="2050"/>
      <c r="G5" s="1584"/>
      <c r="H5" s="773"/>
      <c r="I5" s="2051"/>
      <c r="J5" s="2051"/>
      <c r="K5" s="2052"/>
      <c r="L5" s="2051"/>
      <c r="M5" s="2051"/>
    </row>
    <row r="6" spans="1:25" ht="18" customHeight="1">
      <c r="A6" s="1822" t="s">
        <v>698</v>
      </c>
      <c r="B6" s="1814" t="s">
        <v>699</v>
      </c>
      <c r="C6" s="1814" t="s">
        <v>632</v>
      </c>
      <c r="D6" s="1814" t="s">
        <v>633</v>
      </c>
      <c r="E6" s="776" t="s">
        <v>634</v>
      </c>
      <c r="F6" s="777"/>
      <c r="G6" s="1586"/>
      <c r="H6" s="1822" t="s">
        <v>630</v>
      </c>
      <c r="I6" s="1814" t="s">
        <v>631</v>
      </c>
      <c r="J6" s="1814" t="s">
        <v>632</v>
      </c>
      <c r="K6" s="1814" t="s">
        <v>633</v>
      </c>
      <c r="L6" s="776" t="s">
        <v>634</v>
      </c>
      <c r="M6" s="777"/>
    </row>
    <row r="7" spans="1:25" ht="18" customHeight="1">
      <c r="A7" s="778">
        <v>1</v>
      </c>
      <c r="B7" s="779" t="s">
        <v>2459</v>
      </c>
      <c r="C7" s="53">
        <f ca="1">C8+C12+C14</f>
        <v>0</v>
      </c>
      <c r="D7" s="2512" t="s">
        <v>2462</v>
      </c>
      <c r="E7" s="2506"/>
      <c r="F7" s="2507"/>
      <c r="G7" s="1586"/>
      <c r="H7" s="778">
        <v>1</v>
      </c>
      <c r="I7" s="779" t="s">
        <v>2459</v>
      </c>
      <c r="J7" s="53">
        <f ca="1">J8+J12+J14</f>
        <v>0</v>
      </c>
      <c r="K7" s="2512" t="s">
        <v>2462</v>
      </c>
      <c r="L7" s="2506"/>
      <c r="M7" s="2507"/>
    </row>
    <row r="8" spans="1:25" ht="18" customHeight="1">
      <c r="A8" s="1824" t="s">
        <v>1824</v>
      </c>
      <c r="B8" s="3548" t="s">
        <v>2464</v>
      </c>
      <c r="C8" s="1819">
        <f ca="1">ROUND(F8*F10*F9*(1-F11)/10000,0)</f>
        <v>0</v>
      </c>
      <c r="D8" s="1816" t="s">
        <v>2535</v>
      </c>
      <c r="E8" s="61" t="s">
        <v>637</v>
      </c>
      <c r="F8" s="782">
        <f ca="1">INDIRECT("'数据-取费表'!u"&amp;$G$1)</f>
        <v>0</v>
      </c>
      <c r="G8" s="1586"/>
      <c r="H8" s="2520" t="s">
        <v>1824</v>
      </c>
      <c r="I8" s="3548" t="s">
        <v>2464</v>
      </c>
      <c r="J8" s="780">
        <f ca="1">ROUND(M8*M10*M9*(1-M11)/10000,0)</f>
        <v>0</v>
      </c>
      <c r="K8" s="338" t="s">
        <v>2535</v>
      </c>
      <c r="L8" s="781" t="s">
        <v>1738</v>
      </c>
      <c r="M8" s="782">
        <f ca="1">INDIRECT("'数据-取费表'!z"&amp;$G$1)</f>
        <v>0</v>
      </c>
    </row>
    <row r="9" spans="1:25" ht="18" customHeight="1">
      <c r="A9" s="2516"/>
      <c r="B9" s="3549"/>
      <c r="C9" s="1820"/>
      <c r="D9" s="1817"/>
      <c r="E9" s="61" t="s">
        <v>638</v>
      </c>
      <c r="F9" s="782">
        <f ca="1">IF(INDIRECT("'数据-取费表'!ah"&amp;$G$1)="",INDIRECT("'数据-取费表'!k"&amp;$G$1),INDIRECT("'数据-取费表'!ah"&amp;$G$1))</f>
        <v>0</v>
      </c>
      <c r="G9" s="1586"/>
      <c r="H9" s="2505"/>
      <c r="I9" s="3549"/>
      <c r="J9" s="785"/>
      <c r="K9" s="786"/>
      <c r="L9" s="781" t="s">
        <v>1739</v>
      </c>
      <c r="M9" s="782">
        <f ca="1">F9</f>
        <v>0</v>
      </c>
    </row>
    <row r="10" spans="1:25" ht="18" customHeight="1">
      <c r="A10" s="2509"/>
      <c r="B10" s="3550"/>
      <c r="C10" s="1820"/>
      <c r="D10" s="1817"/>
      <c r="E10" s="61" t="s">
        <v>639</v>
      </c>
      <c r="F10" s="782">
        <f ca="1">INDIRECT("'数据-取费表'!ai"&amp;$G$1)</f>
        <v>0</v>
      </c>
      <c r="G10" s="1586"/>
      <c r="H10" s="2505"/>
      <c r="I10" s="3550"/>
      <c r="J10" s="785"/>
      <c r="K10" s="786"/>
      <c r="L10" s="781" t="s">
        <v>1740</v>
      </c>
      <c r="M10" s="782">
        <f ca="1">INDIRECT("'数据-取费表'!ai"&amp;$G$1)</f>
        <v>0</v>
      </c>
    </row>
    <row r="11" spans="1:25" ht="18" customHeight="1">
      <c r="A11" s="783"/>
      <c r="B11" s="3551"/>
      <c r="C11" s="1820"/>
      <c r="D11" s="1817"/>
      <c r="E11" s="61" t="s">
        <v>640</v>
      </c>
      <c r="F11" s="791">
        <f ca="1">INDIRECT("'数据-取费表'!w"&amp;$G$1)</f>
        <v>0</v>
      </c>
      <c r="G11" s="1586"/>
      <c r="H11" s="2521"/>
      <c r="I11" s="3550"/>
      <c r="J11" s="785"/>
      <c r="K11" s="786"/>
      <c r="L11" s="792" t="s">
        <v>1741</v>
      </c>
      <c r="M11" s="793">
        <f ca="1">INDIRECT("'数据-取费表'!ab"&amp;$G$1)</f>
        <v>0</v>
      </c>
    </row>
    <row r="12" spans="1:25" ht="18" customHeight="1">
      <c r="A12" s="1824" t="s">
        <v>1825</v>
      </c>
      <c r="B12" s="2510" t="s">
        <v>2460</v>
      </c>
      <c r="C12" s="796">
        <f ca="1">ROUND(IF(F12="押一",C8/12*F13,IF(F12="押二",C8/12*2*F13,IF(F12="押三",C8/12*3*F13,C13*F13))),0)</f>
        <v>0</v>
      </c>
      <c r="D12" s="2517" t="s">
        <v>2971</v>
      </c>
      <c r="E12" s="2514" t="s">
        <v>2465</v>
      </c>
      <c r="F12" s="2637"/>
      <c r="G12" s="1586"/>
      <c r="H12" s="2577" t="s">
        <v>1825</v>
      </c>
      <c r="I12" s="2582" t="s">
        <v>2460</v>
      </c>
      <c r="J12" s="780">
        <f ca="1">ROUND(IF(M12="押一",J8/12*M13,IF(M12="押二",J8/12*2*M13,IF(M12="押三",J8/12*3*M13,J13*M13))),0)</f>
        <v>0</v>
      </c>
      <c r="K12" s="2517" t="s">
        <v>2971</v>
      </c>
      <c r="L12" s="2514" t="s">
        <v>2465</v>
      </c>
      <c r="M12" s="2637"/>
    </row>
    <row r="13" spans="1:25" ht="18" customHeight="1">
      <c r="A13" s="787"/>
      <c r="B13" s="2511" t="s">
        <v>2574</v>
      </c>
      <c r="C13" s="2515"/>
      <c r="D13" s="786"/>
      <c r="E13" s="2514" t="s">
        <v>2457</v>
      </c>
      <c r="F13" s="793">
        <f ca="1">'数据-取费表'!B39</f>
        <v>1.4999999999999999E-2</v>
      </c>
      <c r="G13" s="1586"/>
      <c r="H13" s="2578"/>
      <c r="I13" s="2511" t="s">
        <v>2574</v>
      </c>
      <c r="J13" s="2515"/>
      <c r="K13" s="2579"/>
      <c r="L13" s="2514" t="s">
        <v>2457</v>
      </c>
      <c r="M13" s="2508">
        <f ca="1">'数据-取费表'!B39</f>
        <v>1.4999999999999999E-2</v>
      </c>
    </row>
    <row r="14" spans="1:25" ht="18" customHeight="1" thickBot="1">
      <c r="A14" s="2553" t="s">
        <v>2468</v>
      </c>
      <c r="B14" s="2554" t="s">
        <v>2461</v>
      </c>
      <c r="C14" s="2555"/>
      <c r="D14" s="2556"/>
      <c r="E14" s="2557"/>
      <c r="F14" s="2558"/>
      <c r="G14" s="1586"/>
      <c r="H14" s="2567" t="s">
        <v>2468</v>
      </c>
      <c r="I14" s="2580" t="s">
        <v>2461</v>
      </c>
      <c r="J14" s="2581"/>
      <c r="K14" s="2556"/>
      <c r="L14" s="2557"/>
      <c r="M14" s="2570"/>
    </row>
    <row r="15" spans="1:25" ht="18" customHeight="1" thickTop="1">
      <c r="A15" s="1823" t="s">
        <v>1874</v>
      </c>
      <c r="B15" s="1821" t="s">
        <v>641</v>
      </c>
      <c r="C15" s="789">
        <f ca="1">ROUND(C31*F15,0)</f>
        <v>0</v>
      </c>
      <c r="D15" s="1828" t="s">
        <v>642</v>
      </c>
      <c r="E15" s="792" t="s">
        <v>643</v>
      </c>
      <c r="F15" s="797">
        <f ca="1">INDIRECT("'数据-取费表'!y"&amp;$G$1)</f>
        <v>0</v>
      </c>
      <c r="G15" s="1586"/>
      <c r="H15" s="1823" t="s">
        <v>1826</v>
      </c>
      <c r="I15" s="1821" t="s">
        <v>644</v>
      </c>
      <c r="J15" s="1813">
        <f ca="1">ROUND(J16*J17,0)</f>
        <v>0</v>
      </c>
      <c r="K15" s="1815" t="s">
        <v>642</v>
      </c>
      <c r="L15" s="798"/>
      <c r="M15" s="799"/>
    </row>
    <row r="16" spans="1:25" ht="18" customHeight="1">
      <c r="A16" s="800" t="s">
        <v>1875</v>
      </c>
      <c r="B16" s="781" t="s">
        <v>645</v>
      </c>
      <c r="C16" s="801">
        <f ca="1">INDIRECT("'数据-取费表'!m"&amp;$G$1)+INDIRECT("'数据-取费表'!t"&amp;$G$1)</f>
        <v>0</v>
      </c>
      <c r="D16" s="1973" t="s">
        <v>646</v>
      </c>
      <c r="E16" s="1974"/>
      <c r="F16" s="802"/>
      <c r="G16" s="1586"/>
      <c r="H16" s="800" t="s">
        <v>2069</v>
      </c>
      <c r="I16" s="2225" t="s">
        <v>2826</v>
      </c>
      <c r="J16" s="53">
        <f ca="1">C31</f>
        <v>0</v>
      </c>
      <c r="K16" s="26"/>
      <c r="L16" s="798"/>
      <c r="M16" s="799"/>
    </row>
    <row r="17" spans="1:25" s="2058" customFormat="1" ht="18" customHeight="1">
      <c r="A17" s="800" t="s">
        <v>1849</v>
      </c>
      <c r="B17" s="781" t="s">
        <v>647</v>
      </c>
      <c r="C17" s="53">
        <f ca="1">ROUND(C16*F17,0)</f>
        <v>0</v>
      </c>
      <c r="D17" s="803" t="s">
        <v>648</v>
      </c>
      <c r="E17" s="803" t="s">
        <v>649</v>
      </c>
      <c r="F17" s="804">
        <f>'数据-取费表'!B33</f>
        <v>0.03</v>
      </c>
      <c r="G17" s="1587"/>
      <c r="H17" s="800" t="s">
        <v>2070</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1850</v>
      </c>
      <c r="B18" s="781" t="s">
        <v>650</v>
      </c>
      <c r="C18" s="53">
        <f ca="1">ROUND(INDIRECT("'数据-取费表'!m"&amp;$G$1)*F18,0)</f>
        <v>0</v>
      </c>
      <c r="D18" s="781" t="s">
        <v>648</v>
      </c>
      <c r="E18" s="781" t="s">
        <v>649</v>
      </c>
      <c r="F18" s="806">
        <f ca="1">IF(INDIRECT("'数据-取费表'!c"&amp;$G$1)="住宅",'数据-取费表'!B34,0)</f>
        <v>0</v>
      </c>
      <c r="G18" s="1586"/>
      <c r="H18" s="794" t="s">
        <v>1827</v>
      </c>
      <c r="I18" s="795" t="s">
        <v>651</v>
      </c>
      <c r="J18" s="796">
        <f ca="1">ROUND(J19+J24+J25+J26,0)</f>
        <v>0</v>
      </c>
      <c r="K18" s="26" t="s">
        <v>652</v>
      </c>
      <c r="L18" s="1976"/>
      <c r="M18" s="56"/>
    </row>
    <row r="19" spans="1:25" s="2058" customFormat="1" ht="18" customHeight="1">
      <c r="A19" s="800" t="s">
        <v>1851</v>
      </c>
      <c r="B19" s="781" t="s">
        <v>653</v>
      </c>
      <c r="C19" s="53">
        <f ca="1">ROUND(F19*(INDIRECT("'数据-取费表'!k"&amp;$G$1)+INDIRECT("'数据-取费表'!S"&amp;$G$1))/10000,0)</f>
        <v>0</v>
      </c>
      <c r="D19" s="781" t="s">
        <v>654</v>
      </c>
      <c r="E19" s="781" t="s">
        <v>655</v>
      </c>
      <c r="F19" s="56">
        <f>'数据-取费表'!B35</f>
        <v>150</v>
      </c>
      <c r="G19" s="1587"/>
      <c r="H19" s="800" t="s">
        <v>2069</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1852</v>
      </c>
      <c r="B20" s="781" t="s">
        <v>659</v>
      </c>
      <c r="C20" s="53">
        <f ca="1">ROUND(C16*F20,0)</f>
        <v>0</v>
      </c>
      <c r="D20" s="781" t="s">
        <v>648</v>
      </c>
      <c r="E20" s="781" t="s">
        <v>649</v>
      </c>
      <c r="F20" s="806">
        <f>'数据-取费表'!B36</f>
        <v>1.4999999999999999E-2</v>
      </c>
      <c r="G20" s="1587"/>
      <c r="H20" s="800" t="s">
        <v>1831</v>
      </c>
      <c r="I20" s="781" t="s">
        <v>660</v>
      </c>
      <c r="J20" s="53">
        <f ca="1">ROUND(J7*M20/1.05,1)</f>
        <v>0</v>
      </c>
      <c r="K20" s="1971" t="s">
        <v>661</v>
      </c>
      <c r="L20" s="781" t="s">
        <v>649</v>
      </c>
      <c r="M20" s="806">
        <f>'数据-取费表'!B41</f>
        <v>5.6500000000000002E-2</v>
      </c>
      <c r="N20" s="2057"/>
      <c r="O20" s="2057"/>
      <c r="P20" s="2057"/>
      <c r="Q20" s="2057"/>
      <c r="R20" s="2057"/>
      <c r="S20" s="2057"/>
      <c r="T20" s="2057"/>
      <c r="U20" s="2057"/>
      <c r="V20" s="2057"/>
      <c r="W20" s="2057"/>
      <c r="X20" s="2057"/>
      <c r="Y20" s="2057"/>
    </row>
    <row r="21" spans="1:25" ht="18" customHeight="1">
      <c r="A21" s="800" t="s">
        <v>1876</v>
      </c>
      <c r="B21" s="781" t="s">
        <v>662</v>
      </c>
      <c r="C21" s="53">
        <f ca="1">SUM(C16:C20)</f>
        <v>0</v>
      </c>
      <c r="D21" s="258" t="s">
        <v>663</v>
      </c>
      <c r="E21" s="1976"/>
      <c r="F21" s="56"/>
      <c r="G21" s="1586"/>
      <c r="H21" s="1824" t="s">
        <v>1849</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1877</v>
      </c>
      <c r="B22" s="781" t="s">
        <v>666</v>
      </c>
      <c r="C22" s="53">
        <f ca="1">ROUND(C21*F22,0)</f>
        <v>0</v>
      </c>
      <c r="D22" s="809" t="s">
        <v>667</v>
      </c>
      <c r="E22" s="781" t="s">
        <v>649</v>
      </c>
      <c r="F22" s="806">
        <f>'数据-取费表'!B37</f>
        <v>0.02</v>
      </c>
      <c r="G22" s="1587"/>
      <c r="H22" s="1826" t="s">
        <v>1850</v>
      </c>
      <c r="I22" s="1816" t="s">
        <v>668</v>
      </c>
      <c r="J22" s="54">
        <f ca="1">ROUND(M22*M23/10000,0)</f>
        <v>0</v>
      </c>
      <c r="K22" s="811" t="s">
        <v>669</v>
      </c>
      <c r="L22" s="781" t="s">
        <v>670</v>
      </c>
      <c r="M22" s="637">
        <f>'数据-取费表'!B52</f>
        <v>15</v>
      </c>
      <c r="N22" s="2057"/>
      <c r="O22" s="2057"/>
      <c r="P22" s="2057"/>
      <c r="Q22" s="2057"/>
      <c r="R22" s="2057"/>
      <c r="S22" s="2057"/>
      <c r="T22" s="2057"/>
      <c r="U22" s="2057"/>
      <c r="V22" s="2057"/>
      <c r="W22" s="2057"/>
      <c r="X22" s="2057"/>
      <c r="Y22" s="2057"/>
    </row>
    <row r="23" spans="1:25" s="2058" customFormat="1" ht="18" customHeight="1">
      <c r="A23" s="800" t="s">
        <v>1878</v>
      </c>
      <c r="B23" s="781" t="s">
        <v>671</v>
      </c>
      <c r="C23" s="53" t="s">
        <v>1</v>
      </c>
      <c r="D23" s="809" t="s">
        <v>672</v>
      </c>
      <c r="E23" s="781" t="s">
        <v>673</v>
      </c>
      <c r="F23" s="806">
        <f>'数据-取费表'!B38</f>
        <v>0.02</v>
      </c>
      <c r="G23" s="1587"/>
      <c r="H23" s="1827"/>
      <c r="I23" s="1818"/>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1879</v>
      </c>
      <c r="B24" s="781" t="s">
        <v>675</v>
      </c>
      <c r="C24" s="53"/>
      <c r="D24" s="2588" t="str">
        <f>IF(F25&lt;=1,"单利计息。","复利计息。")&amp;"建造成本、管理费用、销售费用产生的利息。"</f>
        <v>复利计息。建造成本、管理费用、销售费用产生的利息。</v>
      </c>
      <c r="E24" s="1976"/>
      <c r="F24" s="56"/>
      <c r="G24" s="1586"/>
      <c r="H24" s="1825" t="s">
        <v>2070</v>
      </c>
      <c r="I24" s="781" t="s">
        <v>676</v>
      </c>
      <c r="J24" s="53">
        <f ca="1">ROUND(J16*M24,0)</f>
        <v>0</v>
      </c>
      <c r="K24" s="1971" t="s">
        <v>677</v>
      </c>
      <c r="L24" s="781" t="s">
        <v>649</v>
      </c>
      <c r="M24" s="814">
        <f ca="1">INDIRECT("'数据-取费表'!Ak"&amp;$G$1)</f>
        <v>0</v>
      </c>
    </row>
    <row r="25" spans="1:25" s="2058" customFormat="1" ht="18" customHeight="1">
      <c r="A25" s="800" t="s">
        <v>1875</v>
      </c>
      <c r="B25" s="781" t="s">
        <v>2438</v>
      </c>
      <c r="C25" s="53">
        <f ca="1">ROUND(IF('数据-取费表'!B22&lt;=1,(C21+C22)*F26*F25/2,(C21+C22)*(POWER((1+F26),F25/2)-1)),0)</f>
        <v>0</v>
      </c>
      <c r="D25" s="2587" t="str">
        <f>IF(F25&lt;=1,"(建造成本+管理费用)×利率×(建设周期÷2)","(建造成本+管理费用)×((1+利率)^(建设周期÷2)-1)")</f>
        <v>(建造成本+管理费用)×((1+利率)^(建设周期÷2)-1)</v>
      </c>
      <c r="E25" s="781" t="s">
        <v>678</v>
      </c>
      <c r="F25" s="637">
        <f>'数据-取费表'!B20</f>
        <v>2</v>
      </c>
      <c r="G25" s="1587"/>
      <c r="H25" s="800" t="s">
        <v>1878</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1849</v>
      </c>
      <c r="B26" s="781" t="s">
        <v>681</v>
      </c>
      <c r="C26" s="53">
        <f ca="1">ROUND(IF('数据-取费表'!B22&lt;=1,F23*F26*F25/2,F23*(POWER((1+F26),F25/2)-1)),4)</f>
        <v>1E-3</v>
      </c>
      <c r="D26" s="2587" t="str">
        <f>IF(F25&lt;=1,"销售费用×利率×(建设周期÷2)","销售费用×((1+利率)^(建设周期÷2)-1)")</f>
        <v>销售费用×((1+利率)^(建设周期÷2)-1)</v>
      </c>
      <c r="E26" s="781" t="s">
        <v>682</v>
      </c>
      <c r="F26" s="816">
        <f ca="1">'数据-取费表'!B40</f>
        <v>4.7500000000000001E-2</v>
      </c>
      <c r="G26" s="1587"/>
      <c r="H26" s="800" t="s">
        <v>1879</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1881</v>
      </c>
      <c r="B27" s="781" t="s">
        <v>684</v>
      </c>
      <c r="C27" s="53"/>
      <c r="D27" s="258" t="s">
        <v>685</v>
      </c>
      <c r="E27" s="1976"/>
      <c r="F27" s="56"/>
      <c r="G27" s="1586"/>
      <c r="H27" s="794" t="s">
        <v>1828</v>
      </c>
      <c r="I27" s="3027" t="s">
        <v>2823</v>
      </c>
      <c r="J27" s="796">
        <f ca="1">J7-J18</f>
        <v>0</v>
      </c>
      <c r="K27" s="1973" t="s">
        <v>700</v>
      </c>
      <c r="L27" s="1975"/>
      <c r="M27" s="817"/>
    </row>
    <row r="28" spans="1:25" ht="18" customHeight="1">
      <c r="A28" s="800" t="s">
        <v>1875</v>
      </c>
      <c r="B28" s="781" t="s">
        <v>2439</v>
      </c>
      <c r="C28" s="53">
        <f ca="1">ROUND((C21+C22)*F28,0)</f>
        <v>0</v>
      </c>
      <c r="D28" s="809" t="s">
        <v>701</v>
      </c>
      <c r="E28" s="792" t="s">
        <v>702</v>
      </c>
      <c r="F28" s="791">
        <f ca="1">INDIRECT("'数据-取费表'!q"&amp;$G$1)</f>
        <v>0</v>
      </c>
      <c r="G28" s="1586"/>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3">
        <f ca="1">ROUND(F23*F28,4)</f>
        <v>0</v>
      </c>
      <c r="D29" s="809" t="s">
        <v>706</v>
      </c>
      <c r="E29" s="803"/>
      <c r="F29" s="804"/>
      <c r="G29" s="1586"/>
      <c r="H29" s="783"/>
      <c r="I29" s="784"/>
      <c r="J29" s="785"/>
      <c r="K29" s="818" t="s">
        <v>707</v>
      </c>
      <c r="L29" s="781" t="s">
        <v>708</v>
      </c>
      <c r="M29" s="819">
        <f ca="1">INDIRECT("'数据-取费表'!ag"&amp;$G$1)</f>
        <v>0</v>
      </c>
    </row>
    <row r="30" spans="1:25" s="2058" customFormat="1" ht="18" customHeight="1">
      <c r="A30" s="800" t="s">
        <v>1882</v>
      </c>
      <c r="B30" s="781" t="s">
        <v>687</v>
      </c>
      <c r="C30" s="53">
        <f>ROUND(F30/(1+'数据-取费表'!C42),4)</f>
        <v>5.3800000000000001E-2</v>
      </c>
      <c r="D30" s="809" t="s">
        <v>709</v>
      </c>
      <c r="E30" s="781" t="s">
        <v>649</v>
      </c>
      <c r="F30" s="806">
        <f>'数据-取费表'!B41</f>
        <v>5.6500000000000002E-2</v>
      </c>
      <c r="G30" s="1587"/>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6" t="s">
        <v>1883</v>
      </c>
      <c r="B31" s="2557" t="s">
        <v>2824</v>
      </c>
      <c r="C31" s="2560">
        <f ca="1">ROUND((C21+C22+C25+C28)/(1-F23-C26-C29-C30),0)</f>
        <v>0</v>
      </c>
      <c r="D31" s="2561"/>
      <c r="E31" s="2562"/>
      <c r="F31" s="2563"/>
      <c r="G31" s="1587"/>
      <c r="H31" s="820" t="s">
        <v>1872</v>
      </c>
      <c r="I31" s="3028" t="s">
        <v>2825</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89">
        <f ca="1">ROUND(C33+C38+C39+C40,0)</f>
        <v>0</v>
      </c>
      <c r="D32" s="1815" t="s">
        <v>652</v>
      </c>
      <c r="E32" s="2503"/>
      <c r="F32" s="2507"/>
      <c r="G32" s="2056"/>
      <c r="H32" s="2059"/>
      <c r="I32" s="2060"/>
      <c r="J32" s="2061"/>
      <c r="K32" s="2062"/>
      <c r="L32" s="2063"/>
      <c r="M32" s="2064"/>
    </row>
    <row r="33" spans="1:18" ht="18" customHeight="1">
      <c r="A33" s="800" t="s">
        <v>1876</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1875</v>
      </c>
      <c r="B34" s="781" t="s">
        <v>660</v>
      </c>
      <c r="C34" s="53">
        <f ca="1">ROUND(C7*F34/1.05,1)</f>
        <v>0</v>
      </c>
      <c r="D34" s="1971" t="s">
        <v>661</v>
      </c>
      <c r="E34" s="781" t="s">
        <v>649</v>
      </c>
      <c r="F34" s="806">
        <f>'数据-取费表'!B41</f>
        <v>5.6500000000000002E-2</v>
      </c>
      <c r="G34" s="2056"/>
      <c r="H34" s="2065"/>
      <c r="I34" s="2066"/>
      <c r="J34" s="2067"/>
      <c r="K34" s="2068"/>
      <c r="L34" s="2069"/>
      <c r="M34" s="2070"/>
    </row>
    <row r="35" spans="1:18" ht="18" customHeight="1">
      <c r="A35" s="800" t="s">
        <v>1849</v>
      </c>
      <c r="B35" s="781" t="s">
        <v>664</v>
      </c>
      <c r="C35" s="53">
        <f ca="1">IF(D35="按租金收入计税",ROUND(C7*F35,1),IF(D35="按房产原值计税",ROUND(C31*F35*0.7,1),INDIRECT("'数据-取费表'!Aj"&amp;$G$1)))</f>
        <v>0</v>
      </c>
      <c r="D35" s="808" t="s">
        <v>1680</v>
      </c>
      <c r="E35" s="781" t="s">
        <v>649</v>
      </c>
      <c r="F35" s="806">
        <f>IF(D35="按租金收入计税",'数据-取费表'!B51,'数据-取费表'!B50)</f>
        <v>1.2E-2</v>
      </c>
      <c r="G35" s="2056"/>
      <c r="H35" s="2071"/>
      <c r="I35" s="2071"/>
      <c r="J35" s="2071"/>
      <c r="K35" s="2072"/>
      <c r="L35" s="2071"/>
      <c r="M35" s="2071"/>
    </row>
    <row r="36" spans="1:18" ht="18" customHeight="1">
      <c r="A36" s="810" t="s">
        <v>1880</v>
      </c>
      <c r="B36" s="338" t="s">
        <v>668</v>
      </c>
      <c r="C36" s="54">
        <f ca="1">ROUND(F36*F37/10000,1)</f>
        <v>0</v>
      </c>
      <c r="D36" s="811" t="s">
        <v>669</v>
      </c>
      <c r="E36" s="781" t="s">
        <v>670</v>
      </c>
      <c r="F36" s="637">
        <f>'数据-取费表'!B52</f>
        <v>15</v>
      </c>
      <c r="G36" s="2056"/>
      <c r="H36" s="2059"/>
      <c r="I36" s="3547"/>
      <c r="J36" s="2073"/>
      <c r="K36" s="2074"/>
      <c r="L36" s="2073"/>
      <c r="M36" s="2073"/>
    </row>
    <row r="37" spans="1:18" ht="18" customHeight="1">
      <c r="A37" s="812"/>
      <c r="B37" s="790"/>
      <c r="C37" s="69"/>
      <c r="D37" s="813"/>
      <c r="E37" s="781" t="s">
        <v>674</v>
      </c>
      <c r="F37" s="782">
        <f ca="1">INDIRECT("'数据-取费表'!r"&amp;$G$1)</f>
        <v>0</v>
      </c>
      <c r="G37" s="2056"/>
      <c r="H37" s="2059"/>
      <c r="I37" s="3547"/>
      <c r="J37" s="2071"/>
      <c r="K37" s="2072"/>
      <c r="L37" s="2071"/>
      <c r="M37" s="2071"/>
    </row>
    <row r="38" spans="1:18" ht="18" customHeight="1">
      <c r="A38" s="800" t="s">
        <v>1877</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1878</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6" t="s">
        <v>1879</v>
      </c>
      <c r="B40" s="2562" t="s">
        <v>666</v>
      </c>
      <c r="C40" s="2560">
        <f ca="1">ROUND(C7*F40,1)</f>
        <v>0</v>
      </c>
      <c r="D40" s="2561" t="s">
        <v>683</v>
      </c>
      <c r="E40" s="2562" t="s">
        <v>649</v>
      </c>
      <c r="F40" s="2558">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0" t="s">
        <v>1876</v>
      </c>
      <c r="B42" s="832" t="s">
        <v>693</v>
      </c>
      <c r="C42" s="826">
        <f ca="1">C7-C32</f>
        <v>0</v>
      </c>
      <c r="D42" s="1973" t="s">
        <v>694</v>
      </c>
      <c r="E42" s="1975"/>
      <c r="F42" s="817"/>
      <c r="G42" s="2056"/>
      <c r="H42" s="2056"/>
      <c r="I42" s="2056"/>
      <c r="J42" s="2056"/>
      <c r="K42" s="2077"/>
      <c r="L42" s="2056"/>
      <c r="M42" s="2056"/>
    </row>
    <row r="43" spans="1:18" ht="18" customHeight="1">
      <c r="A43" s="800" t="s">
        <v>1877</v>
      </c>
      <c r="B43" s="832" t="s">
        <v>711</v>
      </c>
      <c r="C43" s="833">
        <f ca="1">ROUND(C15*F43,0)</f>
        <v>0</v>
      </c>
      <c r="D43" s="1351" t="s">
        <v>712</v>
      </c>
      <c r="E43" s="3140" t="s">
        <v>2959</v>
      </c>
      <c r="F43" s="3141">
        <f ca="1">INDIRECT("'数据-取费表'!j"&amp;$G$1)</f>
        <v>0</v>
      </c>
      <c r="G43" s="2056"/>
      <c r="H43" s="2056"/>
      <c r="I43" s="2056"/>
      <c r="J43" s="2056"/>
      <c r="K43" s="2077"/>
      <c r="L43" s="2056"/>
      <c r="M43" s="2056"/>
    </row>
    <row r="44" spans="1:18" ht="18" customHeight="1">
      <c r="A44" s="800" t="s">
        <v>1878</v>
      </c>
      <c r="B44" s="832" t="s">
        <v>713</v>
      </c>
      <c r="C44" s="1352">
        <f ca="1">C42-C43</f>
        <v>0</v>
      </c>
      <c r="D44" s="460" t="s">
        <v>714</v>
      </c>
      <c r="E44" s="461"/>
      <c r="F44" s="462"/>
      <c r="G44" s="2056"/>
      <c r="H44" s="2056"/>
      <c r="I44" s="2056"/>
      <c r="J44" s="2056"/>
      <c r="K44" s="2077"/>
      <c r="L44" s="2056"/>
      <c r="M44" s="2056"/>
    </row>
    <row r="45" spans="1:18" ht="18" customHeight="1">
      <c r="A45" s="800" t="s">
        <v>1879</v>
      </c>
      <c r="B45" s="1351" t="s">
        <v>715</v>
      </c>
      <c r="C45" s="3052">
        <f ca="1">ROUND(-PV(F45,F46,C44,0),0)</f>
        <v>0</v>
      </c>
      <c r="D45" s="1353" t="s">
        <v>716</v>
      </c>
      <c r="E45" s="803" t="s">
        <v>717</v>
      </c>
      <c r="F45" s="827">
        <f ca="1">INDIRECT("'数据-取费表'!h"&amp;$G$1)</f>
        <v>0</v>
      </c>
      <c r="G45" s="2056"/>
      <c r="H45" s="2056"/>
      <c r="I45" s="2056"/>
      <c r="J45" s="2056"/>
      <c r="K45" s="2077"/>
      <c r="L45" s="2056"/>
      <c r="M45" s="2056"/>
    </row>
    <row r="46" spans="1:18" ht="18" customHeight="1" thickBot="1">
      <c r="A46" s="828"/>
      <c r="B46" s="1354"/>
      <c r="C46" s="1355"/>
      <c r="D46" s="1356"/>
      <c r="E46" s="3142" t="s">
        <v>2962</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0" t="s">
        <v>2343</v>
      </c>
      <c r="J47" s="2371"/>
      <c r="K47" s="2372"/>
      <c r="L47" s="2373" t="str">
        <f ca="1">IF(M48="住宅",0,IF(L49&gt;J52,L61,J61))</f>
        <v>0</v>
      </c>
      <c r="O47" s="2410" t="s">
        <v>2411</v>
      </c>
      <c r="P47" s="1586"/>
      <c r="Q47" s="1598"/>
      <c r="R47" s="1586"/>
    </row>
    <row r="48" spans="1:18" s="2053" customFormat="1" ht="18" customHeight="1" thickBot="1">
      <c r="A48" s="2078"/>
      <c r="C48" s="2081"/>
      <c r="D48" s="2082"/>
      <c r="E48" s="2082"/>
      <c r="F48" s="2083"/>
      <c r="G48" s="2084"/>
      <c r="I48" s="2374" t="s">
        <v>2344</v>
      </c>
      <c r="J48" s="2379"/>
      <c r="K48" s="2380" t="s">
        <v>2350</v>
      </c>
      <c r="L48" s="2381">
        <f ca="1">INDIRECT("'数据-取费表'!d"&amp;$G$1)</f>
        <v>0</v>
      </c>
      <c r="M48" s="3137" t="str">
        <f>IF(ISNUMBER(FIND("住宅",C1)),"住宅","非住宅")</f>
        <v>非住宅</v>
      </c>
      <c r="O48" s="2411" t="s">
        <v>2376</v>
      </c>
      <c r="P48" s="2412" t="s">
        <v>2377</v>
      </c>
      <c r="Q48" s="2413" t="s">
        <v>2378</v>
      </c>
      <c r="R48" s="2412" t="s">
        <v>2379</v>
      </c>
    </row>
    <row r="49" spans="1:18" s="2053" customFormat="1" ht="18" customHeight="1" thickBot="1">
      <c r="A49" s="2078"/>
      <c r="D49" s="2085"/>
      <c r="E49" s="2086"/>
      <c r="F49" s="2083"/>
      <c r="G49" s="2084"/>
      <c r="H49" s="2087"/>
      <c r="I49" s="2375" t="s">
        <v>2345</v>
      </c>
      <c r="J49" s="2382"/>
      <c r="K49" s="2383" t="s">
        <v>2352</v>
      </c>
      <c r="L49" s="2384">
        <f ca="1">INDIRECT("'数据-取费表'!f"&amp;$G$1)</f>
        <v>0</v>
      </c>
      <c r="O49" s="2414" t="s">
        <v>2380</v>
      </c>
      <c r="P49" s="2415" t="s">
        <v>2406</v>
      </c>
      <c r="Q49" s="2416">
        <f ca="1">C41+J31</f>
        <v>0</v>
      </c>
      <c r="R49" s="2415" t="s">
        <v>2381</v>
      </c>
    </row>
    <row r="50" spans="1:18" s="2053" customFormat="1" ht="18" customHeight="1" thickBot="1">
      <c r="A50" s="2078"/>
      <c r="D50" s="2088"/>
      <c r="E50" s="2088"/>
      <c r="F50" s="2082"/>
      <c r="G50" s="2089"/>
      <c r="H50" s="2087"/>
      <c r="I50" s="2375" t="s">
        <v>2346</v>
      </c>
      <c r="J50" s="2385"/>
      <c r="K50" s="2386" t="s">
        <v>2353</v>
      </c>
      <c r="L50" s="2387"/>
      <c r="O50" s="2414" t="s">
        <v>2382</v>
      </c>
      <c r="P50" s="2415" t="s">
        <v>2407</v>
      </c>
      <c r="Q50" s="2416" t="str">
        <f ca="1">J61</f>
        <v>0</v>
      </c>
      <c r="R50" s="2415" t="s">
        <v>2383</v>
      </c>
    </row>
    <row r="51" spans="1:18" s="2053" customFormat="1" ht="18" customHeight="1" thickBot="1">
      <c r="A51" s="2090"/>
      <c r="D51" s="2088"/>
      <c r="E51" s="2088"/>
      <c r="F51" s="2079"/>
      <c r="H51" s="2087"/>
      <c r="I51" s="2375" t="s">
        <v>2347</v>
      </c>
      <c r="J51" s="2388">
        <f>SUMPRODUCT((I64:I66=J48)*(J63:L63=J49)*(J64:L66))</f>
        <v>0</v>
      </c>
      <c r="K51" s="2386" t="s">
        <v>2354</v>
      </c>
      <c r="L51" s="2387"/>
      <c r="O51" s="2417" t="s">
        <v>2384</v>
      </c>
      <c r="P51" s="2415" t="s">
        <v>2408</v>
      </c>
      <c r="Q51" s="2416">
        <f ca="1">C31</f>
        <v>0</v>
      </c>
      <c r="R51" s="2415" t="s">
        <v>2381</v>
      </c>
    </row>
    <row r="52" spans="1:18" s="2053" customFormat="1" ht="18" customHeight="1" thickBot="1">
      <c r="A52" s="2090"/>
      <c r="F52" s="2079"/>
      <c r="I52" s="2376" t="s">
        <v>2348</v>
      </c>
      <c r="J52" s="2389">
        <f>IF(J50="",J51,J50+J51-YEAR('数据-取费表'!B3))</f>
        <v>0</v>
      </c>
      <c r="K52" s="2375" t="s">
        <v>2355</v>
      </c>
      <c r="L52" s="2390">
        <f ca="1">ROUND(-PV(INDIRECT("'数据-取费表'!h"&amp;$G$1),L49,(C40-C14*J36),0),0)</f>
        <v>0</v>
      </c>
      <c r="O52" s="2417" t="s">
        <v>2385</v>
      </c>
      <c r="P52" s="2415" t="s">
        <v>2386</v>
      </c>
      <c r="Q52" s="2418" t="e">
        <f ca="1">J59</f>
        <v>#VALUE!</v>
      </c>
      <c r="R52" s="2419"/>
    </row>
    <row r="53" spans="1:18" s="2053" customFormat="1" ht="18" customHeight="1" thickBot="1">
      <c r="A53" s="2090"/>
      <c r="F53" s="2079"/>
      <c r="I53" s="2377" t="s">
        <v>2422</v>
      </c>
      <c r="J53" s="2391"/>
      <c r="K53" s="2377" t="s">
        <v>2421</v>
      </c>
      <c r="L53" s="2391"/>
      <c r="O53" s="2417" t="s">
        <v>2387</v>
      </c>
      <c r="P53" s="2415" t="s">
        <v>2388</v>
      </c>
      <c r="Q53" s="2418">
        <f>J53</f>
        <v>0</v>
      </c>
      <c r="R53" s="2419"/>
    </row>
    <row r="54" spans="1:18" s="2053" customFormat="1" ht="43.5" thickBot="1">
      <c r="A54" s="2090"/>
      <c r="I54" s="2378" t="s">
        <v>2349</v>
      </c>
      <c r="J54" s="2392">
        <f ca="1">IF(M48="住宅",J52,IF(J52&gt;L49,L49-'数据-取费表'!B25,J52))</f>
        <v>0</v>
      </c>
      <c r="K54" s="3552"/>
      <c r="L54" s="3553"/>
      <c r="O54" s="2417" t="s">
        <v>2389</v>
      </c>
      <c r="P54" s="2415" t="s">
        <v>2390</v>
      </c>
      <c r="Q54" s="2416">
        <f ca="1">J54</f>
        <v>0</v>
      </c>
      <c r="R54" s="2415"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4" t="s">
        <v>2392</v>
      </c>
      <c r="P55" s="2415" t="s">
        <v>2409</v>
      </c>
      <c r="Q55" s="2416">
        <f ca="1">Q49+Q50</f>
        <v>0</v>
      </c>
      <c r="R55" s="2419" t="s">
        <v>2393</v>
      </c>
    </row>
    <row r="56" spans="1:18" s="2053" customFormat="1" ht="16.5" thickBot="1">
      <c r="A56" s="2090"/>
      <c r="B56" s="2091"/>
      <c r="C56" s="2091"/>
      <c r="I56" s="3114" t="s">
        <v>2356</v>
      </c>
      <c r="J56" s="3138" t="e">
        <f ca="1">ROUND(IF(J48="钢混",J58/J51,1-(1-2%)*(J51-J58)/J51),3)</f>
        <v>#VALUE!</v>
      </c>
      <c r="K56" s="2393" t="s">
        <v>2357</v>
      </c>
      <c r="L56" s="2394"/>
      <c r="O56" s="2420" t="s">
        <v>2412</v>
      </c>
      <c r="P56" s="1586"/>
      <c r="Q56" s="1598"/>
      <c r="R56" s="1586"/>
    </row>
    <row r="57" spans="1:18" s="2053" customFormat="1" ht="43.5" thickBot="1">
      <c r="A57" s="2090"/>
      <c r="B57" s="2091"/>
      <c r="C57" s="2091"/>
      <c r="I57" s="2395" t="s">
        <v>2358</v>
      </c>
      <c r="J57" s="3137" t="s">
        <v>1678</v>
      </c>
      <c r="K57" s="2375" t="s">
        <v>2363</v>
      </c>
      <c r="L57" s="2384">
        <f ca="1">IF(L49&lt;J52,"——",L49-J52)</f>
        <v>0</v>
      </c>
      <c r="O57" s="2411" t="s">
        <v>2376</v>
      </c>
      <c r="P57" s="2412" t="s">
        <v>2377</v>
      </c>
      <c r="Q57" s="2413" t="s">
        <v>2378</v>
      </c>
      <c r="R57" s="2412" t="s">
        <v>2379</v>
      </c>
    </row>
    <row r="58" spans="1:18" s="2053" customFormat="1" ht="29.25" thickBot="1">
      <c r="A58" s="2090"/>
      <c r="B58" s="2091"/>
      <c r="C58" s="2091"/>
      <c r="I58" s="2396" t="s">
        <v>2359</v>
      </c>
      <c r="J58" s="2398" t="str">
        <f ca="1">IF(OR(M48="住宅",J52&lt;L49,J57="是"),"——",J52-L49)</f>
        <v>——</v>
      </c>
      <c r="K58" s="2375" t="s">
        <v>2364</v>
      </c>
      <c r="L58" s="2384">
        <f ca="1">IF(L49&lt;J52,"——",IF(L56="比较法",L50,IF(L56="基准地价",L51,L52)))</f>
        <v>0</v>
      </c>
      <c r="O58" s="2414" t="s">
        <v>2380</v>
      </c>
      <c r="P58" s="2415" t="s">
        <v>2406</v>
      </c>
      <c r="Q58" s="2416">
        <f ca="1">C41+J31</f>
        <v>0</v>
      </c>
      <c r="R58" s="2415" t="s">
        <v>2381</v>
      </c>
    </row>
    <row r="59" spans="1:18" s="2053" customFormat="1" ht="29.25" thickBot="1">
      <c r="A59" s="2090"/>
      <c r="B59" s="2091"/>
      <c r="C59" s="2091"/>
      <c r="I59" s="2396" t="s">
        <v>2360</v>
      </c>
      <c r="J59" s="3139" t="e">
        <f ca="1">IF(J56&lt;0.4,0.4,J56)</f>
        <v>#VALUE!</v>
      </c>
      <c r="K59" s="2375" t="s">
        <v>2365</v>
      </c>
      <c r="L59" s="2384">
        <f ca="1">IF(ISERROR(POWER(1+L53,L48-L49)*(POWER(1+L53,L49)-1)/(POWER(1+L53,L48)-1)),0,POWER(1+L53,L48-L49)*(POWER(1+L53,L49)-1)/(POWER(1+L53,L48)-1))</f>
        <v>0</v>
      </c>
      <c r="O59" s="2414" t="s">
        <v>2382</v>
      </c>
      <c r="P59" s="2415" t="s">
        <v>2413</v>
      </c>
      <c r="Q59" s="2416" t="e">
        <f ca="1">L61</f>
        <v>#DIV/0!</v>
      </c>
      <c r="R59" s="2419" t="s">
        <v>2415</v>
      </c>
    </row>
    <row r="60" spans="1:18" s="2053" customFormat="1" ht="29.25" thickBot="1">
      <c r="A60" s="2090"/>
      <c r="B60" s="2091"/>
      <c r="C60" s="2091"/>
      <c r="I60" s="2396" t="s">
        <v>2361</v>
      </c>
      <c r="J60" s="2398" t="str">
        <f ca="1">IF(OR(M48="住宅",J52&lt;L49,J57="是"),"——",ROUND(C30*J59,0))</f>
        <v>——</v>
      </c>
      <c r="K60" s="2375" t="s">
        <v>2366</v>
      </c>
      <c r="L60" s="2384">
        <f ca="1">IF(ISERROR(POWER(1+L53,L48-J52)*(POWER(1+L53,J52)-1)/(POWER(1+L53,L48)-1)),0,POWER(1+L53,L48-J52)*(POWER(1+L53,J52)-1)/(POWER(1+L53,L48)-1))</f>
        <v>0</v>
      </c>
      <c r="O60" s="2417" t="s">
        <v>2384</v>
      </c>
      <c r="P60" s="2415" t="s">
        <v>2414</v>
      </c>
      <c r="Q60" s="2416">
        <f>IF(L56="比较法",L50,IF(L56="基准地价",L51,0))</f>
        <v>0</v>
      </c>
      <c r="R60" s="2415" t="s">
        <v>2381</v>
      </c>
    </row>
    <row r="61" spans="1:18" s="2053" customFormat="1" ht="15.75" thickBot="1">
      <c r="A61" s="2090"/>
      <c r="B61" s="2091"/>
      <c r="C61" s="2091"/>
      <c r="I61" s="2397" t="s">
        <v>2362</v>
      </c>
      <c r="J61" s="2399" t="str">
        <f ca="1">IF(OR(M48="住宅",J52&lt;L49,J57="是"),"0",ROUND(J60/(1+J53)^J54,0))</f>
        <v>0</v>
      </c>
      <c r="K61" s="2400" t="s">
        <v>2367</v>
      </c>
      <c r="L61" s="2399" t="e">
        <f ca="1">IF(OR(M48="住宅",L49&lt;J52),0,ROUND(L58*(L59/L60-1),0))</f>
        <v>#DIV/0!</v>
      </c>
      <c r="O61" s="2417" t="s">
        <v>2385</v>
      </c>
      <c r="P61" s="2415" t="s">
        <v>2394</v>
      </c>
      <c r="Q61" s="2418">
        <f>L53</f>
        <v>0</v>
      </c>
      <c r="R61" s="2419"/>
    </row>
    <row r="62" spans="1:18" s="2053" customFormat="1" ht="20.25" thickBot="1">
      <c r="A62" s="2090"/>
      <c r="B62" s="2091"/>
      <c r="C62" s="2091"/>
      <c r="K62" s="2080"/>
      <c r="O62" s="2417" t="s">
        <v>2387</v>
      </c>
      <c r="P62" s="2415" t="s">
        <v>2395</v>
      </c>
      <c r="Q62" s="2416">
        <f ca="1">L59</f>
        <v>0</v>
      </c>
      <c r="R62" s="2419" t="s">
        <v>2396</v>
      </c>
    </row>
    <row r="63" spans="1:18" s="2053" customFormat="1" ht="20.25" thickBot="1">
      <c r="A63" s="2090"/>
      <c r="B63" s="2091"/>
      <c r="C63" s="2091"/>
      <c r="I63" s="2401" t="s">
        <v>2368</v>
      </c>
      <c r="J63" s="2402" t="s">
        <v>2369</v>
      </c>
      <c r="K63" s="2402" t="s">
        <v>2370</v>
      </c>
      <c r="L63" s="2402" t="s">
        <v>2351</v>
      </c>
      <c r="M63" s="3116" t="s">
        <v>2939</v>
      </c>
      <c r="O63" s="2417" t="s">
        <v>2389</v>
      </c>
      <c r="P63" s="2415" t="s">
        <v>2397</v>
      </c>
      <c r="Q63" s="2416">
        <f ca="1">L60</f>
        <v>0</v>
      </c>
      <c r="R63" s="2419" t="s">
        <v>2398</v>
      </c>
    </row>
    <row r="64" spans="1:18" s="2053" customFormat="1" ht="15.75" thickBot="1">
      <c r="A64" s="2090"/>
      <c r="B64" s="2091"/>
      <c r="C64" s="2091"/>
      <c r="I64" s="2401" t="s">
        <v>2371</v>
      </c>
      <c r="J64" s="2402">
        <v>70</v>
      </c>
      <c r="K64" s="2402">
        <v>50</v>
      </c>
      <c r="L64" s="2402">
        <v>80</v>
      </c>
      <c r="M64" s="3117">
        <v>0.02</v>
      </c>
      <c r="O64" s="2414" t="s">
        <v>2392</v>
      </c>
      <c r="P64" s="2415" t="s">
        <v>2409</v>
      </c>
      <c r="Q64" s="2416" t="e">
        <f ca="1">Q58+Q59</f>
        <v>#DIV/0!</v>
      </c>
      <c r="R64" s="2419" t="s">
        <v>2393</v>
      </c>
    </row>
    <row r="65" spans="1:18" s="2053" customFormat="1" ht="16.5" thickBot="1">
      <c r="A65" s="2090"/>
      <c r="B65" s="2091"/>
      <c r="C65" s="2091"/>
      <c r="I65" s="2401" t="s">
        <v>2372</v>
      </c>
      <c r="J65" s="2402">
        <v>50</v>
      </c>
      <c r="K65" s="2402">
        <v>35</v>
      </c>
      <c r="L65" s="2402">
        <v>60</v>
      </c>
      <c r="M65" s="3118">
        <v>0</v>
      </c>
      <c r="O65" s="2420" t="s">
        <v>2416</v>
      </c>
      <c r="P65" s="1586"/>
      <c r="Q65" s="1598"/>
      <c r="R65" s="1586"/>
    </row>
    <row r="66" spans="1:18" s="2053" customFormat="1" ht="15.75" thickBot="1">
      <c r="A66" s="2090"/>
      <c r="B66" s="2091"/>
      <c r="C66" s="2091"/>
      <c r="I66" s="2401" t="s">
        <v>2373</v>
      </c>
      <c r="J66" s="2402">
        <v>40</v>
      </c>
      <c r="K66" s="2402">
        <v>30</v>
      </c>
      <c r="L66" s="2402">
        <v>50</v>
      </c>
      <c r="M66" s="3117">
        <v>0.02</v>
      </c>
      <c r="O66" s="2411" t="s">
        <v>2376</v>
      </c>
      <c r="P66" s="2412" t="s">
        <v>2377</v>
      </c>
      <c r="Q66" s="2413" t="s">
        <v>2378</v>
      </c>
      <c r="R66" s="2412" t="s">
        <v>2379</v>
      </c>
    </row>
    <row r="67" spans="1:18" s="2053" customFormat="1" ht="15.75" thickBot="1">
      <c r="A67" s="2090"/>
      <c r="B67" s="2091"/>
      <c r="C67" s="2091"/>
      <c r="K67" s="2080"/>
      <c r="O67" s="2414" t="s">
        <v>2380</v>
      </c>
      <c r="P67" s="2415" t="s">
        <v>2406</v>
      </c>
      <c r="Q67" s="2416">
        <f ca="1">C41+J31</f>
        <v>0</v>
      </c>
      <c r="R67" s="2415" t="s">
        <v>2381</v>
      </c>
    </row>
    <row r="68" spans="1:18" s="2053" customFormat="1" ht="20.25" thickBot="1">
      <c r="A68" s="2090"/>
      <c r="B68" s="2091"/>
      <c r="C68" s="2091"/>
      <c r="K68" s="2080"/>
      <c r="O68" s="2414" t="s">
        <v>2382</v>
      </c>
      <c r="P68" s="2415" t="s">
        <v>2413</v>
      </c>
      <c r="Q68" s="2416" t="e">
        <f ca="1">L61</f>
        <v>#DIV/0!</v>
      </c>
      <c r="R68" s="2419" t="s">
        <v>2415</v>
      </c>
    </row>
    <row r="69" spans="1:18" s="2053" customFormat="1" ht="21.75" thickBot="1">
      <c r="A69" s="2090"/>
      <c r="B69" s="2091"/>
      <c r="C69" s="2091"/>
      <c r="K69" s="2080"/>
      <c r="O69" s="2417" t="s">
        <v>2384</v>
      </c>
      <c r="P69" s="2415" t="s">
        <v>2414</v>
      </c>
      <c r="Q69" s="2421">
        <f ca="1">L52</f>
        <v>0</v>
      </c>
      <c r="R69" s="2422" t="s">
        <v>2417</v>
      </c>
    </row>
    <row r="70" spans="1:18" s="2053" customFormat="1" ht="20.25" thickBot="1">
      <c r="A70" s="2090"/>
      <c r="B70" s="2091"/>
      <c r="C70" s="2091"/>
      <c r="K70" s="2080"/>
      <c r="O70" s="2417" t="s">
        <v>2385</v>
      </c>
      <c r="P70" s="2423" t="s">
        <v>2399</v>
      </c>
      <c r="Q70" s="2416">
        <f ca="1">ROUND(Q71-Q72*Q73,0)</f>
        <v>0</v>
      </c>
      <c r="R70" s="2419"/>
    </row>
    <row r="71" spans="1:18" s="2053" customFormat="1" ht="15.75" thickBot="1">
      <c r="A71" s="2090"/>
      <c r="B71" s="2091"/>
      <c r="C71" s="2091"/>
      <c r="K71" s="2080"/>
      <c r="O71" s="2417" t="s">
        <v>2400</v>
      </c>
      <c r="P71" s="2423" t="s">
        <v>2401</v>
      </c>
      <c r="Q71" s="2416">
        <f ca="1">C42</f>
        <v>0</v>
      </c>
      <c r="R71" s="2415" t="s">
        <v>2381</v>
      </c>
    </row>
    <row r="72" spans="1:18" s="2053" customFormat="1" ht="15.75" thickBot="1">
      <c r="A72" s="2090"/>
      <c r="B72" s="2091"/>
      <c r="C72" s="2091"/>
      <c r="K72" s="2080"/>
      <c r="O72" s="2417" t="s">
        <v>2402</v>
      </c>
      <c r="P72" s="2423" t="s">
        <v>2403</v>
      </c>
      <c r="Q72" s="2416">
        <f ca="1">C15</f>
        <v>0</v>
      </c>
      <c r="R72" s="2415" t="s">
        <v>2381</v>
      </c>
    </row>
    <row r="73" spans="1:18" s="2053" customFormat="1" ht="15.75" thickBot="1">
      <c r="A73" s="2090"/>
      <c r="B73" s="2091"/>
      <c r="C73" s="2091"/>
      <c r="K73" s="2080"/>
      <c r="O73" s="2417" t="s">
        <v>2404</v>
      </c>
      <c r="P73" s="2423" t="s">
        <v>2405</v>
      </c>
      <c r="Q73" s="2418">
        <f ca="1">F43</f>
        <v>0</v>
      </c>
      <c r="R73" s="2419"/>
    </row>
    <row r="74" spans="1:18" s="2053" customFormat="1" ht="15.75" thickBot="1">
      <c r="A74" s="2090"/>
      <c r="B74" s="2091"/>
      <c r="C74" s="2091"/>
      <c r="K74" s="2080"/>
      <c r="O74" s="2417" t="s">
        <v>2387</v>
      </c>
      <c r="P74" s="2415" t="s">
        <v>2394</v>
      </c>
      <c r="Q74" s="2418">
        <f>L53</f>
        <v>0</v>
      </c>
      <c r="R74" s="2419"/>
    </row>
    <row r="75" spans="1:18" s="2053" customFormat="1" ht="20.25" thickBot="1">
      <c r="A75" s="2090"/>
      <c r="B75" s="2091"/>
      <c r="C75" s="2091"/>
      <c r="K75" s="2080"/>
      <c r="O75" s="2417" t="s">
        <v>2389</v>
      </c>
      <c r="P75" s="2415" t="s">
        <v>2395</v>
      </c>
      <c r="Q75" s="2416">
        <f ca="1">L59</f>
        <v>0</v>
      </c>
      <c r="R75" s="2419" t="s">
        <v>2396</v>
      </c>
    </row>
    <row r="76" spans="1:18" s="2053" customFormat="1" ht="20.25" thickBot="1">
      <c r="A76" s="2090"/>
      <c r="B76" s="2091"/>
      <c r="C76" s="2091"/>
      <c r="K76" s="2080"/>
      <c r="O76" s="2417" t="s">
        <v>2418</v>
      </c>
      <c r="P76" s="2415" t="s">
        <v>2397</v>
      </c>
      <c r="Q76" s="2416">
        <f ca="1">L60</f>
        <v>0</v>
      </c>
      <c r="R76" s="2419" t="s">
        <v>2398</v>
      </c>
    </row>
    <row r="77" spans="1:18" s="2053" customFormat="1" ht="15.75" thickBot="1">
      <c r="A77" s="2090"/>
      <c r="B77" s="2091"/>
      <c r="C77" s="2091"/>
      <c r="K77" s="2080"/>
      <c r="O77" s="2414" t="s">
        <v>2392</v>
      </c>
      <c r="P77" s="2415" t="s">
        <v>2409</v>
      </c>
      <c r="Q77" s="2416" t="e">
        <f ca="1">Q67+Q68</f>
        <v>#DIV/0!</v>
      </c>
      <c r="R77" s="2419"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79"/>
    <col min="2" max="6" width="9" style="2679" customWidth="1"/>
    <col min="7" max="7" width="9" style="2695" customWidth="1"/>
    <col min="8" max="12" width="9" style="2679" customWidth="1"/>
    <col min="13" max="13" width="2.25" style="2679" customWidth="1"/>
    <col min="14" max="14" width="9" style="2695" customWidth="1"/>
    <col min="15" max="17" width="9" style="2679" customWidth="1"/>
    <col min="18" max="18" width="2.375" style="2679" customWidth="1"/>
    <col min="19" max="19" width="7.125" style="2695" customWidth="1"/>
    <col min="20" max="22" width="7.125" style="2679" customWidth="1"/>
    <col min="23" max="23" width="24" style="2679" customWidth="1"/>
    <col min="24" max="25" width="9" style="2679"/>
    <col min="26" max="27" width="11.625" style="2679" customWidth="1"/>
    <col min="28" max="28" width="9" style="2679"/>
    <col min="29" max="29" width="2" style="2679" customWidth="1"/>
    <col min="30" max="16384" width="9" style="2679"/>
  </cols>
  <sheetData>
    <row r="1" spans="1:34" s="2669" customFormat="1">
      <c r="B1" s="3556" t="s">
        <v>2577</v>
      </c>
      <c r="C1" s="3556"/>
      <c r="D1" s="3556"/>
      <c r="E1" s="3556"/>
      <c r="F1" s="3556"/>
      <c r="G1" s="3555" t="s">
        <v>2578</v>
      </c>
      <c r="H1" s="3555"/>
      <c r="I1" s="3555"/>
      <c r="J1" s="3555"/>
      <c r="K1" s="3555"/>
      <c r="L1" s="3555"/>
      <c r="N1" s="3555" t="s">
        <v>2579</v>
      </c>
      <c r="O1" s="3555"/>
      <c r="P1" s="3555"/>
      <c r="Q1" s="3555"/>
      <c r="R1" s="2670"/>
      <c r="S1" s="3555" t="s">
        <v>2580</v>
      </c>
      <c r="T1" s="3555"/>
      <c r="U1" s="3555"/>
      <c r="V1" s="3555"/>
      <c r="X1" s="3554" t="s">
        <v>2640</v>
      </c>
      <c r="Y1" s="3555"/>
      <c r="Z1" s="3555"/>
      <c r="AA1" s="3555"/>
      <c r="AB1" s="3555"/>
      <c r="AD1" s="3554" t="s">
        <v>2644</v>
      </c>
      <c r="AE1" s="3555"/>
      <c r="AF1" s="3555"/>
      <c r="AG1" s="3555"/>
      <c r="AH1" s="3555"/>
    </row>
    <row r="2" spans="1:34" s="2772" customFormat="1" ht="14.25" thickBot="1">
      <c r="B2" s="2780" t="s">
        <v>2581</v>
      </c>
      <c r="C2" s="2780" t="s">
        <v>2642</v>
      </c>
      <c r="D2" s="2773" t="s">
        <v>1644</v>
      </c>
      <c r="E2" s="2773" t="s">
        <v>1951</v>
      </c>
      <c r="F2" s="2780" t="s">
        <v>2643</v>
      </c>
      <c r="G2" s="2776"/>
      <c r="H2" s="2775"/>
      <c r="I2" s="2780" t="s">
        <v>2953</v>
      </c>
      <c r="J2" s="2773" t="s">
        <v>2955</v>
      </c>
      <c r="K2" s="2773" t="s">
        <v>2956</v>
      </c>
      <c r="L2" s="2780" t="s">
        <v>2957</v>
      </c>
      <c r="N2" s="2780" t="s">
        <v>2581</v>
      </c>
      <c r="O2" s="2773" t="s">
        <v>2954</v>
      </c>
      <c r="P2" s="2773" t="s">
        <v>1951</v>
      </c>
      <c r="Q2" s="2780" t="s">
        <v>2643</v>
      </c>
      <c r="R2" s="2774"/>
      <c r="S2" s="2780" t="s">
        <v>2581</v>
      </c>
      <c r="T2" s="2773" t="s">
        <v>2954</v>
      </c>
      <c r="U2" s="2773" t="s">
        <v>1951</v>
      </c>
      <c r="V2" s="2780" t="s">
        <v>2643</v>
      </c>
      <c r="X2" s="2780" t="s">
        <v>2581</v>
      </c>
      <c r="Y2" s="2780" t="s">
        <v>2642</v>
      </c>
      <c r="Z2" s="2773" t="s">
        <v>1644</v>
      </c>
      <c r="AA2" s="2773" t="s">
        <v>1951</v>
      </c>
      <c r="AB2" s="2780" t="s">
        <v>2643</v>
      </c>
      <c r="AD2" s="2780" t="s">
        <v>2581</v>
      </c>
      <c r="AE2" s="2780" t="s">
        <v>2642</v>
      </c>
      <c r="AF2" s="2773" t="s">
        <v>1644</v>
      </c>
      <c r="AG2" s="2773" t="s">
        <v>1951</v>
      </c>
      <c r="AH2" s="2780" t="s">
        <v>2643</v>
      </c>
    </row>
    <row r="3" spans="1:34" s="3152" customFormat="1" ht="14.25">
      <c r="A3" s="3164" t="s">
        <v>2966</v>
      </c>
      <c r="B3" s="3153"/>
      <c r="C3" s="3153"/>
      <c r="D3" s="3154"/>
      <c r="E3" s="3154"/>
      <c r="F3" s="3153"/>
      <c r="G3" s="3155"/>
      <c r="H3" s="3156"/>
      <c r="I3" s="3163">
        <f>ROUND(AVERAGE($I7:$I22),2)</f>
        <v>2.4500000000000002</v>
      </c>
      <c r="J3" s="3163">
        <f>ROUND(AVERAGE($J7:$J22),2)</f>
        <v>1.65</v>
      </c>
      <c r="K3" s="3163">
        <f>ROUND(AVERAGE($K7:$K22),2)</f>
        <v>2.71</v>
      </c>
      <c r="L3" s="3163">
        <f>ROUND(AVERAGE($L7:$L22),2)</f>
        <v>1.39</v>
      </c>
      <c r="N3" s="3155"/>
      <c r="O3" s="3157"/>
      <c r="P3" s="3157"/>
      <c r="Q3" s="3157"/>
      <c r="R3" s="3157"/>
      <c r="S3" s="3155"/>
      <c r="T3" s="3157"/>
      <c r="U3" s="3157"/>
      <c r="V3" s="3157"/>
      <c r="W3" s="3160"/>
      <c r="X3" s="3158">
        <f>ROUND(SUMPRODUCT(PRODUCT(1+N3:N$21)),4)</f>
        <v>1.4517</v>
      </c>
      <c r="Y3" s="3158">
        <f>ROUND(SUMPRODUCT(PRODUCT(1+O3:O$21)),4)</f>
        <v>1.2928999999999999</v>
      </c>
      <c r="Z3" s="3158">
        <f t="shared" ref="Z3:Z19" si="0">Y3</f>
        <v>1.2928999999999999</v>
      </c>
      <c r="AA3" s="3158">
        <f>ROUND(SUMPRODUCT(PRODUCT(1+P3:P$21)),4)</f>
        <v>1.5068999999999999</v>
      </c>
      <c r="AB3" s="3158">
        <f>ROUND(SUMPRODUCT(PRODUCT(1+Q3:Q$21)),4)</f>
        <v>1.2557</v>
      </c>
      <c r="AD3" s="3159">
        <f>ROUND(AVERAGE(I3:I$22)/100,4)</f>
        <v>2.2800000000000001E-2</v>
      </c>
      <c r="AE3" s="3159">
        <f>ROUND(AVERAGE(J3:J$22)/100,4)</f>
        <v>1.5699999999999999E-2</v>
      </c>
      <c r="AF3" s="3159">
        <f t="shared" ref="AF3:AF20" si="1">AE3</f>
        <v>1.5699999999999999E-2</v>
      </c>
      <c r="AG3" s="3159">
        <f>ROUND(AVERAGE(K3:K$22)/100,4)</f>
        <v>2.5100000000000001E-2</v>
      </c>
      <c r="AH3" s="3159">
        <f>ROUND(AVERAGE(L3:L$22)/100,4)</f>
        <v>1.35E-2</v>
      </c>
    </row>
    <row r="4" spans="1:34" s="2765" customFormat="1" ht="14.25">
      <c r="B4" s="2766"/>
      <c r="C4" s="2766"/>
      <c r="D4" s="2767"/>
      <c r="E4" s="2767"/>
      <c r="F4" s="2766"/>
      <c r="G4" s="2771"/>
      <c r="H4" s="2768"/>
      <c r="I4" s="3145"/>
      <c r="J4" s="3145"/>
      <c r="K4" s="3145"/>
      <c r="L4" s="3145"/>
      <c r="N4" s="2771"/>
      <c r="O4" s="2769"/>
      <c r="P4" s="2769"/>
      <c r="Q4" s="2769"/>
      <c r="R4" s="2769"/>
      <c r="S4" s="2771"/>
      <c r="T4" s="2769"/>
      <c r="U4" s="2769"/>
      <c r="V4" s="2769"/>
      <c r="W4" s="3161"/>
      <c r="X4" s="2770"/>
      <c r="Y4" s="2770"/>
      <c r="Z4" s="2770"/>
      <c r="AA4" s="2770"/>
      <c r="AB4" s="2770"/>
      <c r="AD4" s="2690"/>
      <c r="AE4" s="2690"/>
      <c r="AF4" s="2690"/>
      <c r="AG4" s="2690"/>
      <c r="AH4" s="2690"/>
    </row>
    <row r="5" spans="1:34" s="3131" customFormat="1">
      <c r="A5" s="3129" t="s">
        <v>2973</v>
      </c>
      <c r="B5" s="2811">
        <f>B6*(1+N5)</f>
        <v>446.46299999999997</v>
      </c>
      <c r="C5" s="2811">
        <f t="shared" ref="C5" si="2">C6*(1+O5)</f>
        <v>333.27840000000003</v>
      </c>
      <c r="D5" s="2811">
        <f t="shared" ref="D5" si="3">C5</f>
        <v>333.27840000000003</v>
      </c>
      <c r="E5" s="2811">
        <f t="shared" ref="E5" si="4">E6*(1+P5)</f>
        <v>637.28279999999995</v>
      </c>
      <c r="F5" s="2811">
        <f t="shared" ref="F5" si="5">F6*(1+Q5)</f>
        <v>288.68830000000003</v>
      </c>
      <c r="G5" s="2771">
        <v>2018</v>
      </c>
      <c r="H5" s="3130">
        <v>2</v>
      </c>
      <c r="I5" s="3146">
        <v>0</v>
      </c>
      <c r="J5" s="3146">
        <v>0</v>
      </c>
      <c r="K5" s="3146">
        <v>0</v>
      </c>
      <c r="L5" s="3146">
        <v>0</v>
      </c>
      <c r="N5" s="2778">
        <f t="shared" ref="N5" si="6">I5/100</f>
        <v>0</v>
      </c>
      <c r="O5" s="2778">
        <f t="shared" ref="O5" si="7">J5/100</f>
        <v>0</v>
      </c>
      <c r="P5" s="2778">
        <f t="shared" ref="P5" si="8">K5/100</f>
        <v>0</v>
      </c>
      <c r="Q5" s="2778">
        <f t="shared" ref="Q5" si="9">L5/100</f>
        <v>0</v>
      </c>
      <c r="R5" s="3132"/>
      <c r="S5" s="3133"/>
      <c r="T5" s="3132"/>
      <c r="U5" s="3132"/>
      <c r="V5" s="3132"/>
      <c r="W5" s="3162" t="s">
        <v>2967</v>
      </c>
      <c r="X5" s="3134">
        <f>ROUND(SUMPRODUCT(PRODUCT(1+N5:N$21)),4)</f>
        <v>1.4517</v>
      </c>
      <c r="Y5" s="3134">
        <f>ROUND(SUMPRODUCT(PRODUCT(1+O5:O$21)),4)</f>
        <v>1.2928999999999999</v>
      </c>
      <c r="Z5" s="3134">
        <f t="shared" ref="Z5" si="10">Y5</f>
        <v>1.2928999999999999</v>
      </c>
      <c r="AA5" s="3134">
        <f>ROUND(SUMPRODUCT(PRODUCT(1+P5:P$21)),4)</f>
        <v>1.5068999999999999</v>
      </c>
      <c r="AB5" s="3134">
        <f>ROUND(SUMPRODUCT(PRODUCT(1+Q5:Q$21)),4)</f>
        <v>1.2557</v>
      </c>
      <c r="AD5" s="3135">
        <f>ROUND(AVERAGE(I5:I$22)/100,4)</f>
        <v>2.2700000000000001E-2</v>
      </c>
      <c r="AE5" s="3135">
        <f>ROUND(AVERAGE(J5:J$22)/100,4)</f>
        <v>1.5699999999999999E-2</v>
      </c>
      <c r="AF5" s="3135">
        <f t="shared" ref="AF5" si="11">AE5</f>
        <v>1.5699999999999999E-2</v>
      </c>
      <c r="AG5" s="3135">
        <f>ROUND(AVERAGE(K5:K$22)/100,4)</f>
        <v>2.5000000000000001E-2</v>
      </c>
      <c r="AH5" s="3135">
        <f>ROUND(AVERAGE(L5:L$22)/100,4)</f>
        <v>1.35E-2</v>
      </c>
    </row>
    <row r="6" spans="1:34" s="2777" customFormat="1" ht="13.5" thickBot="1">
      <c r="A6" s="2671" t="s">
        <v>2974</v>
      </c>
      <c r="B6" s="2685">
        <f>B7*(1+N6)</f>
        <v>446.46299999999997</v>
      </c>
      <c r="C6" s="2685">
        <f t="shared" ref="C6" si="12">C7*(1+O6)</f>
        <v>333.27840000000003</v>
      </c>
      <c r="D6" s="2685">
        <f t="shared" ref="D6:D11" si="13">C6</f>
        <v>333.27840000000003</v>
      </c>
      <c r="E6" s="2685">
        <f t="shared" ref="E6" si="14">E7*(1+P6)</f>
        <v>637.28279999999995</v>
      </c>
      <c r="F6" s="2685">
        <f t="shared" ref="F6" si="15">F7*(1+Q6)</f>
        <v>288.68830000000003</v>
      </c>
      <c r="G6" s="3151">
        <v>2018</v>
      </c>
      <c r="H6" s="2675">
        <v>1</v>
      </c>
      <c r="I6" s="2675">
        <v>1.7</v>
      </c>
      <c r="J6" s="2675">
        <v>1.92</v>
      </c>
      <c r="K6" s="2675">
        <v>1.64</v>
      </c>
      <c r="L6" s="2686">
        <v>2.0099999999999998</v>
      </c>
      <c r="M6" s="2679"/>
      <c r="N6" s="2680">
        <f t="shared" ref="N6:N11" si="16">I6/100</f>
        <v>1.7000000000000001E-2</v>
      </c>
      <c r="O6" s="2681">
        <f t="shared" ref="O6" si="17">J6/100</f>
        <v>1.9199999999999998E-2</v>
      </c>
      <c r="P6" s="2681">
        <f t="shared" ref="P6" si="18">K6/100</f>
        <v>1.6399999999999998E-2</v>
      </c>
      <c r="Q6" s="2681">
        <f t="shared" ref="Q6" si="19">L6/100</f>
        <v>2.0099999999999996E-2</v>
      </c>
      <c r="R6" s="2682"/>
      <c r="S6" s="2688">
        <f>B6/B7-1</f>
        <v>1.6999999999999904E-2</v>
      </c>
      <c r="T6" s="2689">
        <f>C6/C7-1</f>
        <v>1.9200000000000106E-2</v>
      </c>
      <c r="U6" s="2689">
        <f>E6/E7-1</f>
        <v>1.639999999999997E-2</v>
      </c>
      <c r="V6" s="2689">
        <f>F6/F7-1</f>
        <v>2.0100000000000007E-2</v>
      </c>
      <c r="W6" s="2679"/>
      <c r="X6" s="2770">
        <f>ROUND(SUMPRODUCT(PRODUCT(1+N6:N$21)),4)</f>
        <v>1.4517</v>
      </c>
      <c r="Y6" s="2770">
        <f>ROUND(SUMPRODUCT(PRODUCT(1+O6:O$21)),4)</f>
        <v>1.2928999999999999</v>
      </c>
      <c r="Z6" s="2770">
        <f t="shared" ref="Z6" si="20">Y6</f>
        <v>1.2928999999999999</v>
      </c>
      <c r="AA6" s="2770">
        <f>ROUND(SUMPRODUCT(PRODUCT(1+P6:P$21)),4)</f>
        <v>1.5068999999999999</v>
      </c>
      <c r="AB6" s="2770">
        <f>ROUND(SUMPRODUCT(PRODUCT(1+Q6:Q$21)),4)</f>
        <v>1.2557</v>
      </c>
      <c r="AC6" s="2679"/>
      <c r="AD6" s="2690">
        <f>ROUND(AVERAGE(I6:I$22)/100,4)</f>
        <v>2.4E-2</v>
      </c>
      <c r="AE6" s="2690">
        <f>ROUND(AVERAGE(J6:J$22)/100,4)</f>
        <v>1.66E-2</v>
      </c>
      <c r="AF6" s="2690">
        <f t="shared" ref="AF6" si="21">AE6</f>
        <v>1.66E-2</v>
      </c>
      <c r="AG6" s="2690">
        <f>ROUND(AVERAGE(K6:K$22)/100,4)</f>
        <v>2.6499999999999999E-2</v>
      </c>
      <c r="AH6" s="2690">
        <f>ROUND(AVERAGE(L6:L$22)/100,4)</f>
        <v>1.43E-2</v>
      </c>
    </row>
    <row r="7" spans="1:34">
      <c r="A7" s="2671" t="s">
        <v>2964</v>
      </c>
      <c r="B7" s="3166">
        <v>439</v>
      </c>
      <c r="C7" s="3166">
        <v>327</v>
      </c>
      <c r="D7" s="3166">
        <f t="shared" si="13"/>
        <v>327</v>
      </c>
      <c r="E7" s="3166">
        <v>627</v>
      </c>
      <c r="F7" s="3167">
        <v>283</v>
      </c>
      <c r="G7" s="3149">
        <v>2017</v>
      </c>
      <c r="H7" s="2672">
        <v>4</v>
      </c>
      <c r="I7" s="2672">
        <v>1.71</v>
      </c>
      <c r="J7" s="2672">
        <v>1.78</v>
      </c>
      <c r="K7" s="2672">
        <v>1.71</v>
      </c>
      <c r="L7" s="2673">
        <v>1.43</v>
      </c>
      <c r="N7" s="2680">
        <f t="shared" si="16"/>
        <v>1.7100000000000001E-2</v>
      </c>
      <c r="O7" s="2681">
        <f t="shared" ref="O7" si="22">J7/100</f>
        <v>1.78E-2</v>
      </c>
      <c r="P7" s="2681">
        <f t="shared" ref="P7" si="23">K7/100</f>
        <v>1.7100000000000001E-2</v>
      </c>
      <c r="Q7" s="2681">
        <f t="shared" ref="Q7" si="24">L7/100</f>
        <v>1.43E-2</v>
      </c>
      <c r="R7" s="2682"/>
      <c r="S7" s="2683"/>
      <c r="T7" s="2684"/>
      <c r="U7" s="2684"/>
      <c r="V7" s="2684"/>
      <c r="X7" s="2770">
        <f>ROUND(SUMPRODUCT(PRODUCT(1+N7:N$21)),4)</f>
        <v>1.4274</v>
      </c>
      <c r="Y7" s="2770">
        <f>ROUND(SUMPRODUCT(PRODUCT(1+O7:O$21)),4)</f>
        <v>1.2685</v>
      </c>
      <c r="Z7" s="2770">
        <f t="shared" si="0"/>
        <v>1.2685</v>
      </c>
      <c r="AA7" s="2770">
        <f>ROUND(SUMPRODUCT(PRODUCT(1+P7:P$21)),4)</f>
        <v>1.4825999999999999</v>
      </c>
      <c r="AB7" s="2770">
        <f>ROUND(SUMPRODUCT(PRODUCT(1+Q7:Q$21)),4)</f>
        <v>1.2309000000000001</v>
      </c>
      <c r="AD7" s="2690">
        <f>ROUND(AVERAGE(I7:I$22)/100,4)</f>
        <v>2.4500000000000001E-2</v>
      </c>
      <c r="AE7" s="2690">
        <f>ROUND(AVERAGE(J7:J$22)/100,4)</f>
        <v>1.6500000000000001E-2</v>
      </c>
      <c r="AF7" s="2690">
        <f t="shared" si="1"/>
        <v>1.6500000000000001E-2</v>
      </c>
      <c r="AG7" s="2690">
        <f>ROUND(AVERAGE(K7:K$22)/100,4)</f>
        <v>2.7099999999999999E-2</v>
      </c>
      <c r="AH7" s="2690">
        <f>ROUND(AVERAGE(L7:L$22)/100,4)</f>
        <v>1.3899999999999999E-2</v>
      </c>
    </row>
    <row r="8" spans="1:34" s="2777" customFormat="1" ht="13.5" thickBot="1">
      <c r="A8" s="2671" t="s">
        <v>2968</v>
      </c>
      <c r="B8" s="2685">
        <f t="shared" ref="B8:C10" si="25">B9*(1+N8)</f>
        <v>431.80730811680002</v>
      </c>
      <c r="C8" s="2685">
        <f t="shared" si="25"/>
        <v>320.57880516480003</v>
      </c>
      <c r="D8" s="2685">
        <f t="shared" si="13"/>
        <v>320.57880516480003</v>
      </c>
      <c r="E8" s="2685">
        <f t="shared" ref="E8:F10" si="26">E9*(1+P8)</f>
        <v>615.96110553196797</v>
      </c>
      <c r="F8" s="2685">
        <f t="shared" si="26"/>
        <v>279.46777300108801</v>
      </c>
      <c r="G8" s="3151"/>
      <c r="H8" s="2675">
        <v>3</v>
      </c>
      <c r="I8" s="2675">
        <v>2.98</v>
      </c>
      <c r="J8" s="2675">
        <v>2.11</v>
      </c>
      <c r="K8" s="2675">
        <v>3.24</v>
      </c>
      <c r="L8" s="2686">
        <v>1.72</v>
      </c>
      <c r="M8" s="2679"/>
      <c r="N8" s="2680">
        <f t="shared" si="16"/>
        <v>2.98E-2</v>
      </c>
      <c r="O8" s="2681">
        <f t="shared" ref="O8:O9" si="27">J8/100</f>
        <v>2.1099999999999997E-2</v>
      </c>
      <c r="P8" s="2681">
        <f t="shared" ref="P8:P9" si="28">K8/100</f>
        <v>3.2400000000000005E-2</v>
      </c>
      <c r="Q8" s="2681">
        <f t="shared" ref="Q8:Q9" si="29">L8/100</f>
        <v>1.72E-2</v>
      </c>
      <c r="R8" s="2682"/>
      <c r="S8" s="2688"/>
      <c r="T8" s="2689"/>
      <c r="U8" s="2689"/>
      <c r="V8" s="2689"/>
      <c r="W8" s="2679"/>
      <c r="X8" s="2770">
        <f>ROUND(SUMPRODUCT(PRODUCT(1+N8:N$21)),4)</f>
        <v>1.4034</v>
      </c>
      <c r="Y8" s="2770">
        <f>ROUND(SUMPRODUCT(PRODUCT(1+O8:O$21)),4)</f>
        <v>1.2463</v>
      </c>
      <c r="Z8" s="2770">
        <f t="shared" si="0"/>
        <v>1.2463</v>
      </c>
      <c r="AA8" s="2770">
        <f>ROUND(SUMPRODUCT(PRODUCT(1+P8:P$21)),4)</f>
        <v>1.4577</v>
      </c>
      <c r="AB8" s="2770">
        <f>ROUND(SUMPRODUCT(PRODUCT(1+Q8:Q$21)),4)</f>
        <v>1.2136</v>
      </c>
      <c r="AC8" s="2679"/>
      <c r="AD8" s="2690">
        <f>ROUND(AVERAGE(I8:I$22)/100,4)</f>
        <v>2.4899999999999999E-2</v>
      </c>
      <c r="AE8" s="2690">
        <f>ROUND(AVERAGE(J8:J$22)/100,4)</f>
        <v>1.6400000000000001E-2</v>
      </c>
      <c r="AF8" s="2690">
        <f t="shared" si="1"/>
        <v>1.6400000000000001E-2</v>
      </c>
      <c r="AG8" s="2690">
        <f>ROUND(AVERAGE(K8:K$22)/100,4)</f>
        <v>2.7799999999999998E-2</v>
      </c>
      <c r="AH8" s="2690">
        <f>ROUND(AVERAGE(L8:L$22)/100,4)</f>
        <v>1.3899999999999999E-2</v>
      </c>
    </row>
    <row r="9" spans="1:34" s="2669" customFormat="1">
      <c r="A9" s="2671" t="s">
        <v>2582</v>
      </c>
      <c r="B9" s="2685">
        <f t="shared" si="25"/>
        <v>419.31181600000002</v>
      </c>
      <c r="C9" s="2685">
        <f t="shared" si="25"/>
        <v>313.95436800000004</v>
      </c>
      <c r="D9" s="2685">
        <f t="shared" si="13"/>
        <v>313.95436800000004</v>
      </c>
      <c r="E9" s="2685">
        <f t="shared" si="26"/>
        <v>596.63028431999999</v>
      </c>
      <c r="F9" s="2685">
        <f t="shared" si="26"/>
        <v>274.74220703999998</v>
      </c>
      <c r="G9" s="3150"/>
      <c r="H9" s="2676">
        <v>2</v>
      </c>
      <c r="I9" s="2676">
        <v>3.4</v>
      </c>
      <c r="J9" s="2676">
        <v>2</v>
      </c>
      <c r="K9" s="2676">
        <v>3.82</v>
      </c>
      <c r="L9" s="2687">
        <v>1.68</v>
      </c>
      <c r="N9" s="2680">
        <f t="shared" si="16"/>
        <v>3.4000000000000002E-2</v>
      </c>
      <c r="O9" s="2681">
        <f t="shared" si="27"/>
        <v>0.02</v>
      </c>
      <c r="P9" s="2681">
        <f t="shared" si="28"/>
        <v>3.8199999999999998E-2</v>
      </c>
      <c r="Q9" s="2681">
        <f t="shared" si="29"/>
        <v>1.6799999999999999E-2</v>
      </c>
      <c r="R9" s="2670"/>
      <c r="S9" s="2674"/>
      <c r="T9" s="2670"/>
      <c r="U9" s="2670"/>
      <c r="V9" s="2670"/>
      <c r="X9" s="2770">
        <f>ROUND(SUMPRODUCT(PRODUCT(1+N9:N$21)),4)</f>
        <v>1.3628</v>
      </c>
      <c r="Y9" s="2770">
        <f>ROUND(SUMPRODUCT(PRODUCT(1+O9:O$21)),4)</f>
        <v>1.2205999999999999</v>
      </c>
      <c r="Z9" s="2770">
        <f t="shared" si="0"/>
        <v>1.2205999999999999</v>
      </c>
      <c r="AA9" s="2770">
        <f>ROUND(SUMPRODUCT(PRODUCT(1+P9:P$21)),4)</f>
        <v>1.4118999999999999</v>
      </c>
      <c r="AB9" s="2770">
        <f>ROUND(SUMPRODUCT(PRODUCT(1+Q9:Q$21)),4)</f>
        <v>1.1930000000000001</v>
      </c>
      <c r="AD9" s="2690">
        <f>ROUND(AVERAGE(I9:I$22)/100,4)</f>
        <v>2.46E-2</v>
      </c>
      <c r="AE9" s="2690">
        <f>ROUND(AVERAGE(J9:J$22)/100,4)</f>
        <v>1.6E-2</v>
      </c>
      <c r="AF9" s="2690">
        <f t="shared" si="1"/>
        <v>1.6E-2</v>
      </c>
      <c r="AG9" s="2690">
        <f>ROUND(AVERAGE(K9:K$22)/100,4)</f>
        <v>2.75E-2</v>
      </c>
      <c r="AH9" s="2690">
        <f>ROUND(AVERAGE(L9:L$22)/100,4)</f>
        <v>1.37E-2</v>
      </c>
    </row>
    <row r="10" spans="1:34" s="2777" customFormat="1" ht="13.5" thickBot="1">
      <c r="A10" s="2671" t="s">
        <v>2583</v>
      </c>
      <c r="B10" s="2685">
        <f t="shared" si="25"/>
        <v>405.524</v>
      </c>
      <c r="C10" s="2685">
        <f t="shared" si="25"/>
        <v>307.79840000000002</v>
      </c>
      <c r="D10" s="2685">
        <f t="shared" si="13"/>
        <v>307.79840000000002</v>
      </c>
      <c r="E10" s="2685">
        <f t="shared" si="26"/>
        <v>574.67759999999998</v>
      </c>
      <c r="F10" s="2685">
        <f t="shared" si="26"/>
        <v>270.20280000000002</v>
      </c>
      <c r="G10" s="3151"/>
      <c r="H10" s="2675">
        <v>1</v>
      </c>
      <c r="I10" s="2675">
        <v>3.45</v>
      </c>
      <c r="J10" s="2675">
        <v>1.92</v>
      </c>
      <c r="K10" s="2675">
        <v>3.92</v>
      </c>
      <c r="L10" s="2686">
        <v>1.58</v>
      </c>
      <c r="M10" s="2679"/>
      <c r="N10" s="2680">
        <f t="shared" si="16"/>
        <v>3.4500000000000003E-2</v>
      </c>
      <c r="O10" s="2681">
        <f t="shared" ref="O10" si="30">J10/100</f>
        <v>1.9199999999999998E-2</v>
      </c>
      <c r="P10" s="2681">
        <f t="shared" ref="P10" si="31">K10/100</f>
        <v>3.9199999999999999E-2</v>
      </c>
      <c r="Q10" s="2681">
        <f t="shared" ref="Q10" si="32">L10/100</f>
        <v>1.5800000000000002E-2</v>
      </c>
      <c r="R10" s="2682"/>
      <c r="S10" s="2688">
        <f>B10/B11-1</f>
        <v>3.4499999999999975E-2</v>
      </c>
      <c r="T10" s="2689">
        <f>C10/C11-1</f>
        <v>1.9200000000000106E-2</v>
      </c>
      <c r="U10" s="2689">
        <f>E10/E11-1</f>
        <v>3.9199999999999902E-2</v>
      </c>
      <c r="V10" s="2689">
        <f>F10/F11-1</f>
        <v>1.5800000000000036E-2</v>
      </c>
      <c r="W10" s="2679"/>
      <c r="X10" s="2770">
        <f>ROUND(SUMPRODUCT(PRODUCT(1+N10:N$21)),4)</f>
        <v>1.3180000000000001</v>
      </c>
      <c r="Y10" s="2770">
        <f>ROUND(SUMPRODUCT(PRODUCT(1+O10:O$21)),4)</f>
        <v>1.1966000000000001</v>
      </c>
      <c r="Z10" s="2770">
        <f t="shared" si="0"/>
        <v>1.1966000000000001</v>
      </c>
      <c r="AA10" s="2770">
        <f>ROUND(SUMPRODUCT(PRODUCT(1+P10:P$21)),4)</f>
        <v>1.36</v>
      </c>
      <c r="AB10" s="2770">
        <f>ROUND(SUMPRODUCT(PRODUCT(1+Q10:Q$21)),4)</f>
        <v>1.1733</v>
      </c>
      <c r="AC10" s="2679"/>
      <c r="AD10" s="2690">
        <f>ROUND(AVERAGE(I10:I$22)/100,4)</f>
        <v>2.3900000000000001E-2</v>
      </c>
      <c r="AE10" s="2690">
        <f>ROUND(AVERAGE(J10:J$22)/100,4)</f>
        <v>1.5699999999999999E-2</v>
      </c>
      <c r="AF10" s="2690">
        <f t="shared" si="1"/>
        <v>1.5699999999999999E-2</v>
      </c>
      <c r="AG10" s="2690">
        <f>ROUND(AVERAGE(K10:K$22)/100,4)</f>
        <v>2.6599999999999999E-2</v>
      </c>
      <c r="AH10" s="2690">
        <f>ROUND(AVERAGE(L10:L$22)/100,4)</f>
        <v>1.34E-2</v>
      </c>
    </row>
    <row r="11" spans="1:34">
      <c r="A11" s="2671" t="s">
        <v>970</v>
      </c>
      <c r="B11" s="2677">
        <v>392</v>
      </c>
      <c r="C11" s="2677">
        <v>302</v>
      </c>
      <c r="D11" s="2677">
        <f t="shared" si="13"/>
        <v>302</v>
      </c>
      <c r="E11" s="2677">
        <v>553</v>
      </c>
      <c r="F11" s="2678">
        <v>266</v>
      </c>
      <c r="G11" s="3563">
        <v>2016</v>
      </c>
      <c r="H11" s="2672">
        <v>4</v>
      </c>
      <c r="I11" s="2672">
        <v>4.5599999999999996</v>
      </c>
      <c r="J11" s="2672">
        <v>2.15</v>
      </c>
      <c r="K11" s="2672">
        <v>5.32</v>
      </c>
      <c r="L11" s="2673">
        <v>1.57</v>
      </c>
      <c r="N11" s="2680">
        <f t="shared" si="16"/>
        <v>4.5599999999999995E-2</v>
      </c>
      <c r="O11" s="2681">
        <f t="shared" ref="O11:Q26" si="33">J11/100</f>
        <v>2.1499999999999998E-2</v>
      </c>
      <c r="P11" s="2681">
        <f t="shared" si="33"/>
        <v>5.3200000000000004E-2</v>
      </c>
      <c r="Q11" s="2681">
        <f t="shared" si="33"/>
        <v>1.5700000000000002E-2</v>
      </c>
      <c r="R11" s="2682"/>
      <c r="S11" s="2683"/>
      <c r="T11" s="2684"/>
      <c r="U11" s="2684"/>
      <c r="V11" s="2684"/>
      <c r="X11" s="2770">
        <f>ROUND(SUMPRODUCT(PRODUCT(1+N11:N$21)),4)</f>
        <v>1.274</v>
      </c>
      <c r="Y11" s="2770">
        <f>ROUND(SUMPRODUCT(PRODUCT(1+O11:O$21)),4)</f>
        <v>1.1740999999999999</v>
      </c>
      <c r="Z11" s="2770">
        <f t="shared" si="0"/>
        <v>1.1740999999999999</v>
      </c>
      <c r="AA11" s="2770">
        <f>ROUND(SUMPRODUCT(PRODUCT(1+P11:P$21)),4)</f>
        <v>1.3087</v>
      </c>
      <c r="AB11" s="2770">
        <f>ROUND(SUMPRODUCT(PRODUCT(1+Q11:Q$21)),4)</f>
        <v>1.1551</v>
      </c>
      <c r="AD11" s="2690">
        <f>ROUND(AVERAGE(I11:I$22)/100,4)</f>
        <v>2.3E-2</v>
      </c>
      <c r="AE11" s="2690">
        <f>ROUND(AVERAGE(J11:J$22)/100,4)</f>
        <v>1.55E-2</v>
      </c>
      <c r="AF11" s="2690">
        <f t="shared" si="1"/>
        <v>1.55E-2</v>
      </c>
      <c r="AG11" s="2690">
        <f>ROUND(AVERAGE(K11:K$22)/100,4)</f>
        <v>2.5600000000000001E-2</v>
      </c>
      <c r="AH11" s="2690">
        <f>ROUND(AVERAGE(L11:L$22)/100,4)</f>
        <v>1.32E-2</v>
      </c>
    </row>
    <row r="12" spans="1:34">
      <c r="A12" s="2671" t="s">
        <v>969</v>
      </c>
      <c r="B12" s="2685">
        <f t="shared" ref="B12:C14" si="34">B11/(1+N11)</f>
        <v>374.90436113236416</v>
      </c>
      <c r="C12" s="2685">
        <f t="shared" si="34"/>
        <v>295.64366128242779</v>
      </c>
      <c r="D12" s="2685">
        <f t="shared" ref="D12:D71" si="35">C12</f>
        <v>295.64366128242779</v>
      </c>
      <c r="E12" s="2685">
        <f t="shared" ref="E12:F14" si="36">E11/(1+P11)</f>
        <v>525.06646410938095</v>
      </c>
      <c r="F12" s="2685">
        <f t="shared" si="36"/>
        <v>261.88835286009646</v>
      </c>
      <c r="G12" s="3558"/>
      <c r="H12" s="2675">
        <v>3</v>
      </c>
      <c r="I12" s="2675">
        <v>4.12</v>
      </c>
      <c r="J12" s="2675">
        <v>2</v>
      </c>
      <c r="K12" s="2675">
        <v>4.79</v>
      </c>
      <c r="L12" s="2686">
        <v>1.97</v>
      </c>
      <c r="N12" s="2680">
        <f t="shared" ref="N12:Q46" si="37">I12/100</f>
        <v>4.1200000000000001E-2</v>
      </c>
      <c r="O12" s="2681">
        <f t="shared" si="33"/>
        <v>0.02</v>
      </c>
      <c r="P12" s="2681">
        <f t="shared" si="33"/>
        <v>4.7899999999999998E-2</v>
      </c>
      <c r="Q12" s="2681">
        <f t="shared" si="33"/>
        <v>1.9699999999999999E-2</v>
      </c>
      <c r="R12" s="2682"/>
      <c r="S12" s="2680"/>
      <c r="T12" s="2681"/>
      <c r="U12" s="2681"/>
      <c r="V12" s="2681"/>
      <c r="X12" s="2770">
        <f>ROUND(SUMPRODUCT(PRODUCT(1+N12:N$21)),4)</f>
        <v>1.2184999999999999</v>
      </c>
      <c r="Y12" s="2770">
        <f>ROUND(SUMPRODUCT(PRODUCT(1+O12:O$21)),4)</f>
        <v>1.1494</v>
      </c>
      <c r="Z12" s="2770">
        <f t="shared" si="0"/>
        <v>1.1494</v>
      </c>
      <c r="AA12" s="2770">
        <f>ROUND(SUMPRODUCT(PRODUCT(1+P12:P$21)),4)</f>
        <v>1.2425999999999999</v>
      </c>
      <c r="AB12" s="2770">
        <f>ROUND(SUMPRODUCT(PRODUCT(1+Q12:Q$21)),4)</f>
        <v>1.1372</v>
      </c>
      <c r="AD12" s="2690">
        <f>ROUND(AVERAGE(I12:I$22)/100,4)</f>
        <v>2.0899999999999998E-2</v>
      </c>
      <c r="AE12" s="2690">
        <f>ROUND(AVERAGE(J12:J$22)/100,4)</f>
        <v>1.49E-2</v>
      </c>
      <c r="AF12" s="2690">
        <f t="shared" si="1"/>
        <v>1.49E-2</v>
      </c>
      <c r="AG12" s="2690">
        <f>ROUND(AVERAGE(K12:K$22)/100,4)</f>
        <v>2.3099999999999999E-2</v>
      </c>
      <c r="AH12" s="2690">
        <f>ROUND(AVERAGE(L12:L$22)/100,4)</f>
        <v>1.2999999999999999E-2</v>
      </c>
    </row>
    <row r="13" spans="1:34">
      <c r="A13" s="2671" t="s">
        <v>959</v>
      </c>
      <c r="B13" s="2685">
        <f t="shared" si="34"/>
        <v>360.06949782209392</v>
      </c>
      <c r="C13" s="2685">
        <f t="shared" si="34"/>
        <v>289.84672674747821</v>
      </c>
      <c r="D13" s="2685">
        <f t="shared" si="35"/>
        <v>289.84672674747821</v>
      </c>
      <c r="E13" s="2685">
        <f t="shared" si="36"/>
        <v>501.06543001181495</v>
      </c>
      <c r="F13" s="2685">
        <f t="shared" si="36"/>
        <v>256.82882500744967</v>
      </c>
      <c r="G13" s="3558"/>
      <c r="H13" s="2676">
        <v>2</v>
      </c>
      <c r="I13" s="2676">
        <v>3.85</v>
      </c>
      <c r="J13" s="2676">
        <v>1.95</v>
      </c>
      <c r="K13" s="2676">
        <v>4.4800000000000004</v>
      </c>
      <c r="L13" s="2687">
        <v>1.41</v>
      </c>
      <c r="N13" s="2680">
        <f t="shared" si="37"/>
        <v>3.85E-2</v>
      </c>
      <c r="O13" s="2681">
        <f t="shared" si="33"/>
        <v>1.95E-2</v>
      </c>
      <c r="P13" s="2681">
        <f t="shared" si="33"/>
        <v>4.4800000000000006E-2</v>
      </c>
      <c r="Q13" s="2681">
        <f t="shared" si="33"/>
        <v>1.41E-2</v>
      </c>
      <c r="R13" s="2682"/>
      <c r="S13" s="2680"/>
      <c r="T13" s="2681"/>
      <c r="U13" s="2681"/>
      <c r="V13" s="2681"/>
      <c r="X13" s="2770">
        <f>ROUND(SUMPRODUCT(PRODUCT(1+N13:N$21)),4)</f>
        <v>1.1702999999999999</v>
      </c>
      <c r="Y13" s="2770">
        <f>ROUND(SUMPRODUCT(PRODUCT(1+O13:O$21)),4)</f>
        <v>1.1269</v>
      </c>
      <c r="Z13" s="2770">
        <f t="shared" si="0"/>
        <v>1.1269</v>
      </c>
      <c r="AA13" s="2770">
        <f>ROUND(SUMPRODUCT(PRODUCT(1+P13:P$21)),4)</f>
        <v>1.1858</v>
      </c>
      <c r="AB13" s="2770">
        <f>ROUND(SUMPRODUCT(PRODUCT(1+Q13:Q$21)),4)</f>
        <v>1.1152</v>
      </c>
      <c r="AD13" s="2690">
        <f>ROUND(AVERAGE(I13:I$22)/100,4)</f>
        <v>1.89E-2</v>
      </c>
      <c r="AE13" s="2690">
        <f>ROUND(AVERAGE(J13:J$22)/100,4)</f>
        <v>1.44E-2</v>
      </c>
      <c r="AF13" s="2690">
        <f t="shared" si="1"/>
        <v>1.44E-2</v>
      </c>
      <c r="AG13" s="2690">
        <f>ROUND(AVERAGE(K13:K$22)/100,4)</f>
        <v>2.06E-2</v>
      </c>
      <c r="AH13" s="2690">
        <f>ROUND(AVERAGE(L13:L$22)/100,4)</f>
        <v>1.23E-2</v>
      </c>
    </row>
    <row r="14" spans="1:34" ht="13.5" thickBot="1">
      <c r="A14" s="2671" t="s">
        <v>968</v>
      </c>
      <c r="B14" s="2685">
        <f t="shared" si="34"/>
        <v>346.720748986128</v>
      </c>
      <c r="C14" s="2685">
        <f t="shared" si="34"/>
        <v>284.30282172386285</v>
      </c>
      <c r="D14" s="2685">
        <f t="shared" si="35"/>
        <v>284.30282172386285</v>
      </c>
      <c r="E14" s="2685">
        <f t="shared" si="36"/>
        <v>479.58023546306947</v>
      </c>
      <c r="F14" s="2685">
        <f t="shared" si="36"/>
        <v>253.25788877571213</v>
      </c>
      <c r="G14" s="3559"/>
      <c r="H14" s="2675">
        <v>1</v>
      </c>
      <c r="I14" s="2675">
        <v>4.09</v>
      </c>
      <c r="J14" s="2675">
        <v>2.93</v>
      </c>
      <c r="K14" s="2675">
        <v>4.54</v>
      </c>
      <c r="L14" s="2686">
        <v>1.48</v>
      </c>
      <c r="N14" s="2680">
        <f t="shared" si="37"/>
        <v>4.0899999999999999E-2</v>
      </c>
      <c r="O14" s="2681">
        <f t="shared" si="33"/>
        <v>2.9300000000000003E-2</v>
      </c>
      <c r="P14" s="2681">
        <f t="shared" si="33"/>
        <v>4.5400000000000003E-2</v>
      </c>
      <c r="Q14" s="2681">
        <f t="shared" si="33"/>
        <v>1.4800000000000001E-2</v>
      </c>
      <c r="R14" s="2682"/>
      <c r="S14" s="2688">
        <f>B14/B15-1</f>
        <v>4.1203450408792808E-2</v>
      </c>
      <c r="T14" s="2689">
        <f>C14/C15-1</f>
        <v>2.6363977342465095E-2</v>
      </c>
      <c r="U14" s="2689">
        <f>E14/E15-1</f>
        <v>4.4837114298626357E-2</v>
      </c>
      <c r="V14" s="2689">
        <f>F14/F15-1</f>
        <v>1.7099954922538574E-2</v>
      </c>
      <c r="X14" s="2770">
        <f>ROUND(SUMPRODUCT(PRODUCT(1+N14:N$21)),4)</f>
        <v>1.1269</v>
      </c>
      <c r="Y14" s="2770">
        <f>ROUND(SUMPRODUCT(PRODUCT(1+O14:O$21)),4)</f>
        <v>1.1052999999999999</v>
      </c>
      <c r="Z14" s="2770">
        <f t="shared" si="0"/>
        <v>1.1052999999999999</v>
      </c>
      <c r="AA14" s="2770">
        <f>ROUND(SUMPRODUCT(PRODUCT(1+P14:P$21)),4)</f>
        <v>1.1349</v>
      </c>
      <c r="AB14" s="2770">
        <f>ROUND(SUMPRODUCT(PRODUCT(1+Q14:Q$21)),4)</f>
        <v>1.0996999999999999</v>
      </c>
      <c r="AD14" s="2690">
        <f>ROUND(AVERAGE(I14:I$22)/100,4)</f>
        <v>1.67E-2</v>
      </c>
      <c r="AE14" s="2690">
        <f>ROUND(AVERAGE(J14:J$22)/100,4)</f>
        <v>1.38E-2</v>
      </c>
      <c r="AF14" s="2690">
        <f t="shared" si="1"/>
        <v>1.38E-2</v>
      </c>
      <c r="AG14" s="2690">
        <f>ROUND(AVERAGE(K14:K$22)/100,4)</f>
        <v>1.7899999999999999E-2</v>
      </c>
      <c r="AH14" s="2690">
        <f>ROUND(AVERAGE(L14:L$22)/100,4)</f>
        <v>1.21E-2</v>
      </c>
    </row>
    <row r="15" spans="1:34" ht="13.5" thickBot="1">
      <c r="A15" s="2671" t="s">
        <v>967</v>
      </c>
      <c r="B15" s="2677">
        <v>333</v>
      </c>
      <c r="C15" s="2677">
        <v>277</v>
      </c>
      <c r="D15" s="2677">
        <f t="shared" si="35"/>
        <v>277</v>
      </c>
      <c r="E15" s="2677">
        <v>459</v>
      </c>
      <c r="F15" s="2678">
        <v>249</v>
      </c>
      <c r="G15" s="3557">
        <v>2015</v>
      </c>
      <c r="H15" s="2691">
        <v>4</v>
      </c>
      <c r="I15" s="2691">
        <v>1.63</v>
      </c>
      <c r="J15" s="2691">
        <v>1.1100000000000001</v>
      </c>
      <c r="K15" s="2691">
        <v>1.77</v>
      </c>
      <c r="L15" s="2692">
        <v>1.89</v>
      </c>
      <c r="N15" s="2693">
        <f t="shared" si="37"/>
        <v>1.6299999999999999E-2</v>
      </c>
      <c r="O15" s="2694">
        <f t="shared" si="33"/>
        <v>1.11E-2</v>
      </c>
      <c r="P15" s="2694">
        <f t="shared" si="33"/>
        <v>1.77E-2</v>
      </c>
      <c r="Q15" s="2694">
        <f t="shared" si="33"/>
        <v>1.89E-2</v>
      </c>
      <c r="R15" s="2682"/>
      <c r="X15" s="2770">
        <f>ROUND(SUMPRODUCT(PRODUCT(1+N15:N$21)),4)</f>
        <v>1.0826</v>
      </c>
      <c r="Y15" s="2770">
        <f>ROUND(SUMPRODUCT(PRODUCT(1+O15:O$21)),4)</f>
        <v>1.0738000000000001</v>
      </c>
      <c r="Z15" s="2770">
        <f t="shared" si="0"/>
        <v>1.0738000000000001</v>
      </c>
      <c r="AA15" s="2770">
        <f>ROUND(SUMPRODUCT(PRODUCT(1+P15:P$21)),4)</f>
        <v>1.0855999999999999</v>
      </c>
      <c r="AB15" s="2770">
        <f>ROUND(SUMPRODUCT(PRODUCT(1+Q15:Q$21)),4)</f>
        <v>1.0837000000000001</v>
      </c>
      <c r="AD15" s="2690">
        <f>ROUND(AVERAGE(I15:I$22)/100,4)</f>
        <v>1.37E-2</v>
      </c>
      <c r="AE15" s="2690">
        <f>ROUND(AVERAGE(J15:J$22)/100,4)</f>
        <v>1.1900000000000001E-2</v>
      </c>
      <c r="AF15" s="2690">
        <f t="shared" si="1"/>
        <v>1.1900000000000001E-2</v>
      </c>
      <c r="AG15" s="2690">
        <f>ROUND(AVERAGE(K15:K$22)/100,4)</f>
        <v>1.4500000000000001E-2</v>
      </c>
      <c r="AH15" s="2690">
        <f>ROUND(AVERAGE(L15:L$22)/100,4)</f>
        <v>1.18E-2</v>
      </c>
    </row>
    <row r="16" spans="1:34">
      <c r="A16" s="2671" t="s">
        <v>966</v>
      </c>
      <c r="B16" s="2685">
        <f t="shared" ref="B16:C18" si="38">B15/(1+N15)</f>
        <v>327.65915576109415</v>
      </c>
      <c r="C16" s="2685">
        <f t="shared" si="38"/>
        <v>273.95905449510434</v>
      </c>
      <c r="D16" s="2685">
        <f t="shared" si="35"/>
        <v>273.95905449510434</v>
      </c>
      <c r="E16" s="2685">
        <f t="shared" ref="E16:F18" si="39">E15/(1+P15)</f>
        <v>451.01699911565294</v>
      </c>
      <c r="F16" s="2685">
        <f t="shared" si="39"/>
        <v>244.38119540681129</v>
      </c>
      <c r="G16" s="3558"/>
      <c r="H16" s="2696">
        <v>3</v>
      </c>
      <c r="I16" s="2696">
        <v>1.65</v>
      </c>
      <c r="J16" s="2696">
        <v>0.92</v>
      </c>
      <c r="K16" s="2696">
        <v>1.88</v>
      </c>
      <c r="L16" s="2697">
        <v>1.26</v>
      </c>
      <c r="N16" s="2680">
        <f t="shared" si="37"/>
        <v>1.6500000000000001E-2</v>
      </c>
      <c r="O16" s="2698">
        <f t="shared" si="33"/>
        <v>9.1999999999999998E-3</v>
      </c>
      <c r="P16" s="2698">
        <f t="shared" si="33"/>
        <v>1.8799999999999997E-2</v>
      </c>
      <c r="Q16" s="2698">
        <f t="shared" si="33"/>
        <v>1.26E-2</v>
      </c>
      <c r="R16" s="2682"/>
      <c r="S16" s="2680"/>
      <c r="T16" s="2681"/>
      <c r="U16" s="2681"/>
      <c r="V16" s="2681"/>
      <c r="X16" s="2770">
        <f>ROUND(SUMPRODUCT(PRODUCT(1+N16:N$21)),4)</f>
        <v>1.0651999999999999</v>
      </c>
      <c r="Y16" s="2770">
        <f>ROUND(SUMPRODUCT(PRODUCT(1+O16:O$21)),4)</f>
        <v>1.0621</v>
      </c>
      <c r="Z16" s="2770">
        <f t="shared" si="0"/>
        <v>1.0621</v>
      </c>
      <c r="AA16" s="2770">
        <f>ROUND(SUMPRODUCT(PRODUCT(1+P16:P$21)),4)</f>
        <v>1.0668</v>
      </c>
      <c r="AB16" s="2770">
        <f>ROUND(SUMPRODUCT(PRODUCT(1+Q16:Q$21)),4)</f>
        <v>1.0636000000000001</v>
      </c>
      <c r="AD16" s="2690">
        <f>ROUND(AVERAGE(I16:I$22)/100,4)</f>
        <v>1.3299999999999999E-2</v>
      </c>
      <c r="AE16" s="2690">
        <f>ROUND(AVERAGE(J16:J$22)/100,4)</f>
        <v>1.2E-2</v>
      </c>
      <c r="AF16" s="2690">
        <f t="shared" si="1"/>
        <v>1.2E-2</v>
      </c>
      <c r="AG16" s="2690">
        <f>ROUND(AVERAGE(K16:K$22)/100,4)</f>
        <v>1.4E-2</v>
      </c>
      <c r="AH16" s="2690">
        <f>ROUND(AVERAGE(L16:L$22)/100,4)</f>
        <v>1.0800000000000001E-2</v>
      </c>
    </row>
    <row r="17" spans="1:34">
      <c r="A17" s="2671" t="s">
        <v>965</v>
      </c>
      <c r="B17" s="2685">
        <f t="shared" si="38"/>
        <v>322.34053690220776</v>
      </c>
      <c r="C17" s="2685">
        <f t="shared" si="38"/>
        <v>271.46160770422546</v>
      </c>
      <c r="D17" s="2685">
        <f t="shared" si="35"/>
        <v>271.46160770422546</v>
      </c>
      <c r="E17" s="2685">
        <f t="shared" si="39"/>
        <v>442.69434542172456</v>
      </c>
      <c r="F17" s="2685">
        <f t="shared" si="39"/>
        <v>241.34030753190925</v>
      </c>
      <c r="G17" s="3558"/>
      <c r="H17" s="2676">
        <v>2</v>
      </c>
      <c r="I17" s="2676">
        <v>0.77</v>
      </c>
      <c r="J17" s="2676">
        <v>0.69</v>
      </c>
      <c r="K17" s="2676">
        <v>0.8</v>
      </c>
      <c r="L17" s="2687">
        <v>0.88</v>
      </c>
      <c r="N17" s="2680">
        <f t="shared" si="37"/>
        <v>7.7000000000000002E-3</v>
      </c>
      <c r="O17" s="2698">
        <f t="shared" si="33"/>
        <v>6.8999999999999999E-3</v>
      </c>
      <c r="P17" s="2698">
        <f t="shared" si="33"/>
        <v>8.0000000000000002E-3</v>
      </c>
      <c r="Q17" s="2698">
        <f t="shared" si="33"/>
        <v>8.8000000000000005E-3</v>
      </c>
      <c r="R17" s="2682"/>
      <c r="S17" s="2680"/>
      <c r="T17" s="2681"/>
      <c r="U17" s="2681"/>
      <c r="V17" s="2681"/>
      <c r="X17" s="2770">
        <f>ROUND(SUMPRODUCT(PRODUCT(1+N17:N$21)),4)</f>
        <v>1.048</v>
      </c>
      <c r="Y17" s="2770">
        <f>ROUND(SUMPRODUCT(PRODUCT(1+O17:O$21)),4)</f>
        <v>1.0524</v>
      </c>
      <c r="Z17" s="2770">
        <f t="shared" si="0"/>
        <v>1.0524</v>
      </c>
      <c r="AA17" s="2770">
        <f>ROUND(SUMPRODUCT(PRODUCT(1+P17:P$21)),4)</f>
        <v>1.0470999999999999</v>
      </c>
      <c r="AB17" s="2770">
        <f>ROUND(SUMPRODUCT(PRODUCT(1+Q17:Q$21)),4)</f>
        <v>1.0504</v>
      </c>
      <c r="AD17" s="2690">
        <f>ROUND(AVERAGE(I17:I$22)/100,4)</f>
        <v>1.2800000000000001E-2</v>
      </c>
      <c r="AE17" s="2690">
        <f>ROUND(AVERAGE(J17:J$22)/100,4)</f>
        <v>1.2500000000000001E-2</v>
      </c>
      <c r="AF17" s="2690">
        <f t="shared" si="1"/>
        <v>1.2500000000000001E-2</v>
      </c>
      <c r="AG17" s="2690">
        <f>ROUND(AVERAGE(K17:K$22)/100,4)</f>
        <v>1.32E-2</v>
      </c>
      <c r="AH17" s="2690">
        <f>ROUND(AVERAGE(L17:L$22)/100,4)</f>
        <v>1.0500000000000001E-2</v>
      </c>
    </row>
    <row r="18" spans="1:34">
      <c r="A18" s="2671" t="s">
        <v>964</v>
      </c>
      <c r="B18" s="2685">
        <f t="shared" si="38"/>
        <v>319.87748030386797</v>
      </c>
      <c r="C18" s="2685">
        <f t="shared" si="38"/>
        <v>269.60135833173649</v>
      </c>
      <c r="D18" s="2685">
        <f t="shared" si="35"/>
        <v>269.60135833173649</v>
      </c>
      <c r="E18" s="2685">
        <f t="shared" si="39"/>
        <v>439.18089823583784</v>
      </c>
      <c r="F18" s="2685">
        <f t="shared" si="39"/>
        <v>239.23503918706311</v>
      </c>
      <c r="G18" s="3559"/>
      <c r="H18" s="2675">
        <v>1</v>
      </c>
      <c r="I18" s="2675">
        <v>0.51</v>
      </c>
      <c r="J18" s="2675">
        <v>0.54</v>
      </c>
      <c r="K18" s="2675">
        <v>0.48</v>
      </c>
      <c r="L18" s="2686">
        <v>0.93</v>
      </c>
      <c r="N18" s="2688">
        <f t="shared" si="37"/>
        <v>5.1000000000000004E-3</v>
      </c>
      <c r="O18" s="2689">
        <f t="shared" si="33"/>
        <v>5.4000000000000003E-3</v>
      </c>
      <c r="P18" s="2689">
        <f t="shared" si="33"/>
        <v>4.7999999999999996E-3</v>
      </c>
      <c r="Q18" s="2689">
        <f t="shared" si="33"/>
        <v>9.300000000000001E-3</v>
      </c>
      <c r="R18" s="2682"/>
      <c r="S18" s="2688">
        <f>B18/B19-1</f>
        <v>5.9040261127922822E-3</v>
      </c>
      <c r="T18" s="2689">
        <f>C18/C19-1</f>
        <v>5.9752176557332781E-3</v>
      </c>
      <c r="U18" s="2689">
        <f>E18/E19-1</f>
        <v>4.9906138119859556E-3</v>
      </c>
      <c r="V18" s="2689">
        <f>F18/F19-1</f>
        <v>9.4305450930933787E-3</v>
      </c>
      <c r="X18" s="2770">
        <f>ROUND(SUMPRODUCT(PRODUCT(1+N18:N$21)),4)</f>
        <v>1.0399</v>
      </c>
      <c r="Y18" s="2770">
        <f>ROUND(SUMPRODUCT(PRODUCT(1+O18:O$21)),4)</f>
        <v>1.0451999999999999</v>
      </c>
      <c r="Z18" s="2770">
        <f t="shared" si="0"/>
        <v>1.0451999999999999</v>
      </c>
      <c r="AA18" s="2770">
        <f>ROUND(SUMPRODUCT(PRODUCT(1+P18:P$21)),4)</f>
        <v>1.0387999999999999</v>
      </c>
      <c r="AB18" s="2770">
        <f>ROUND(SUMPRODUCT(PRODUCT(1+Q18:Q$21)),4)</f>
        <v>1.0411999999999999</v>
      </c>
      <c r="AD18" s="2690">
        <f>ROUND(AVERAGE(I18:I$22)/100,4)</f>
        <v>1.38E-2</v>
      </c>
      <c r="AE18" s="2690">
        <f>ROUND(AVERAGE(J18:J$22)/100,4)</f>
        <v>1.3599999999999999E-2</v>
      </c>
      <c r="AF18" s="2690">
        <f t="shared" si="1"/>
        <v>1.3599999999999999E-2</v>
      </c>
      <c r="AG18" s="2690">
        <f>ROUND(AVERAGE(K18:K$22)/100,4)</f>
        <v>1.4200000000000001E-2</v>
      </c>
      <c r="AH18" s="2690">
        <f>ROUND(AVERAGE(L18:L$22)/100,4)</f>
        <v>1.0800000000000001E-2</v>
      </c>
    </row>
    <row r="19" spans="1:34" ht="13.5" thickBot="1">
      <c r="A19" s="2671" t="s">
        <v>963</v>
      </c>
      <c r="B19" s="2699">
        <v>318</v>
      </c>
      <c r="C19" s="2699">
        <v>268</v>
      </c>
      <c r="D19" s="2699">
        <f t="shared" si="35"/>
        <v>268</v>
      </c>
      <c r="E19" s="2699">
        <v>437</v>
      </c>
      <c r="F19" s="2700">
        <v>237</v>
      </c>
      <c r="G19" s="3557">
        <v>2014</v>
      </c>
      <c r="H19" s="2691">
        <v>4</v>
      </c>
      <c r="I19" s="2691">
        <v>0.21</v>
      </c>
      <c r="J19" s="2691">
        <v>0.41</v>
      </c>
      <c r="K19" s="2691">
        <v>0.12</v>
      </c>
      <c r="L19" s="2692">
        <v>0.89</v>
      </c>
      <c r="N19" s="2680">
        <f t="shared" si="37"/>
        <v>2.0999999999999999E-3</v>
      </c>
      <c r="O19" s="2681">
        <f t="shared" si="33"/>
        <v>4.0999999999999995E-3</v>
      </c>
      <c r="P19" s="2681">
        <f t="shared" si="33"/>
        <v>1.1999999999999999E-3</v>
      </c>
      <c r="Q19" s="2681">
        <f t="shared" si="33"/>
        <v>8.8999999999999999E-3</v>
      </c>
      <c r="R19" s="2682"/>
      <c r="S19" s="2683"/>
      <c r="T19" s="2684"/>
      <c r="U19" s="2684"/>
      <c r="V19" s="2684"/>
      <c r="X19" s="2770">
        <f>ROUND(SUMPRODUCT(PRODUCT(1+N19:N$21)),4)</f>
        <v>1.0347</v>
      </c>
      <c r="Y19" s="2770">
        <f>ROUND(SUMPRODUCT(PRODUCT(1+O19:O$21)),4)</f>
        <v>1.0395000000000001</v>
      </c>
      <c r="Z19" s="2770">
        <f t="shared" si="0"/>
        <v>1.0395000000000001</v>
      </c>
      <c r="AA19" s="2770">
        <f>ROUND(SUMPRODUCT(PRODUCT(1+P19:P$21)),4)</f>
        <v>1.0338000000000001</v>
      </c>
      <c r="AB19" s="2770">
        <f>ROUND(SUMPRODUCT(PRODUCT(1+Q19:Q$21)),4)</f>
        <v>1.0316000000000001</v>
      </c>
      <c r="AD19" s="2690">
        <f>ROUND(AVERAGE(I19:I$22)/100,4)</f>
        <v>1.6E-2</v>
      </c>
      <c r="AE19" s="2690">
        <f>ROUND(AVERAGE(J19:J$22)/100,4)</f>
        <v>1.5599999999999999E-2</v>
      </c>
      <c r="AF19" s="2690">
        <f t="shared" si="1"/>
        <v>1.5599999999999999E-2</v>
      </c>
      <c r="AG19" s="2690">
        <f>ROUND(AVERAGE(K19:K$22)/100,4)</f>
        <v>1.66E-2</v>
      </c>
      <c r="AH19" s="2690">
        <f>ROUND(AVERAGE(L19:L$22)/100,4)</f>
        <v>1.12E-2</v>
      </c>
    </row>
    <row r="20" spans="1:34">
      <c r="A20" s="2671" t="s">
        <v>962</v>
      </c>
      <c r="B20" s="2685">
        <f t="shared" ref="B20:C22" si="40">B19/(1+N19)</f>
        <v>317.33359944117353</v>
      </c>
      <c r="C20" s="2685">
        <f t="shared" si="40"/>
        <v>266.90568668459315</v>
      </c>
      <c r="D20" s="2685">
        <f t="shared" si="35"/>
        <v>266.90568668459315</v>
      </c>
      <c r="E20" s="2685">
        <f t="shared" ref="E20:F22" si="41">E19/(1+P19)</f>
        <v>436.47622852576905</v>
      </c>
      <c r="F20" s="2685">
        <f t="shared" si="41"/>
        <v>234.90930716622066</v>
      </c>
      <c r="G20" s="3558"/>
      <c r="H20" s="2701">
        <v>3</v>
      </c>
      <c r="I20" s="2701">
        <v>0.83</v>
      </c>
      <c r="J20" s="2701">
        <v>1.47</v>
      </c>
      <c r="K20" s="2701">
        <v>0.65</v>
      </c>
      <c r="L20" s="2702">
        <v>0.72</v>
      </c>
      <c r="N20" s="2680">
        <f t="shared" si="37"/>
        <v>8.3000000000000001E-3</v>
      </c>
      <c r="O20" s="2681">
        <f t="shared" si="33"/>
        <v>1.47E-2</v>
      </c>
      <c r="P20" s="2681">
        <f t="shared" si="33"/>
        <v>6.5000000000000006E-3</v>
      </c>
      <c r="Q20" s="2681">
        <f t="shared" si="33"/>
        <v>7.1999999999999998E-3</v>
      </c>
      <c r="R20" s="2682"/>
      <c r="S20" s="2680"/>
      <c r="T20" s="2681"/>
      <c r="U20" s="2681"/>
      <c r="V20" s="2681"/>
      <c r="X20" s="2770">
        <f>ROUND(SUMPRODUCT(PRODUCT(1+N20:N$21)),4)</f>
        <v>1.0325</v>
      </c>
      <c r="Y20" s="2770">
        <f>ROUND(SUMPRODUCT(PRODUCT(1+O20:O$21)),4)</f>
        <v>1.0353000000000001</v>
      </c>
      <c r="Z20" s="2770">
        <f t="shared" ref="Z20:Z21" si="42">Y20</f>
        <v>1.0353000000000001</v>
      </c>
      <c r="AA20" s="2770">
        <f>ROUND(SUMPRODUCT(PRODUCT(1+P20:P$21)),4)</f>
        <v>1.0326</v>
      </c>
      <c r="AB20" s="2770">
        <f>ROUND(SUMPRODUCT(PRODUCT(1+Q20:Q$21)),4)</f>
        <v>1.0225</v>
      </c>
      <c r="AD20" s="2690">
        <f>ROUND(AVERAGE(I20:I$22)/100,4)</f>
        <v>2.07E-2</v>
      </c>
      <c r="AE20" s="2690">
        <f>ROUND(AVERAGE(J20:J$22)/100,4)</f>
        <v>1.95E-2</v>
      </c>
      <c r="AF20" s="2690">
        <f t="shared" si="1"/>
        <v>1.95E-2</v>
      </c>
      <c r="AG20" s="2690">
        <f>ROUND(AVERAGE(K20:K$22)/100,4)</f>
        <v>2.1700000000000001E-2</v>
      </c>
      <c r="AH20" s="2690">
        <f>ROUND(AVERAGE(L20:L$22)/100,4)</f>
        <v>1.2E-2</v>
      </c>
    </row>
    <row r="21" spans="1:34" ht="13.5" thickBot="1">
      <c r="A21" s="2671" t="s">
        <v>961</v>
      </c>
      <c r="B21" s="2685">
        <f t="shared" si="40"/>
        <v>314.72141172386546</v>
      </c>
      <c r="C21" s="2685">
        <f t="shared" si="40"/>
        <v>263.03901319069001</v>
      </c>
      <c r="D21" s="2685">
        <f t="shared" si="35"/>
        <v>263.03901319069001</v>
      </c>
      <c r="E21" s="2685">
        <f t="shared" si="41"/>
        <v>433.65745506782821</v>
      </c>
      <c r="F21" s="2685">
        <f t="shared" si="41"/>
        <v>233.23005080045735</v>
      </c>
      <c r="G21" s="3558"/>
      <c r="H21" s="2691">
        <v>2</v>
      </c>
      <c r="I21" s="2691">
        <v>2.4</v>
      </c>
      <c r="J21" s="2691">
        <v>2.0299999999999998</v>
      </c>
      <c r="K21" s="2691">
        <v>2.59</v>
      </c>
      <c r="L21" s="2692">
        <v>1.52</v>
      </c>
      <c r="N21" s="2680">
        <f t="shared" si="37"/>
        <v>2.4E-2</v>
      </c>
      <c r="O21" s="2681">
        <f t="shared" si="33"/>
        <v>2.0299999999999999E-2</v>
      </c>
      <c r="P21" s="2681">
        <f t="shared" si="33"/>
        <v>2.5899999999999999E-2</v>
      </c>
      <c r="Q21" s="2681">
        <f t="shared" si="33"/>
        <v>1.52E-2</v>
      </c>
      <c r="R21" s="2682"/>
      <c r="S21" s="2680"/>
      <c r="T21" s="2681"/>
      <c r="U21" s="2681"/>
      <c r="V21" s="2681"/>
      <c r="X21" s="2770">
        <f>1+N21</f>
        <v>1.024</v>
      </c>
      <c r="Y21" s="2770">
        <f>1+O21</f>
        <v>1.0203</v>
      </c>
      <c r="Z21" s="2770">
        <f t="shared" si="42"/>
        <v>1.0203</v>
      </c>
      <c r="AA21" s="2770">
        <f>1+P21</f>
        <v>1.0259</v>
      </c>
      <c r="AB21" s="2770">
        <f>1+Q21</f>
        <v>1.0152000000000001</v>
      </c>
      <c r="AD21" s="2690">
        <f>ROUND(AVERAGE(I21:I$22)/100,4)</f>
        <v>2.69E-2</v>
      </c>
      <c r="AE21" s="2690">
        <f>ROUND(AVERAGE(J21:J$22)/100,4)</f>
        <v>2.1899999999999999E-2</v>
      </c>
      <c r="AF21" s="2690">
        <f t="shared" ref="AF21" si="43">AE21</f>
        <v>2.1899999999999999E-2</v>
      </c>
      <c r="AG21" s="2690">
        <f>ROUND(AVERAGE(K21:K$22)/100,4)</f>
        <v>2.9399999999999999E-2</v>
      </c>
      <c r="AH21" s="2690">
        <f>ROUND(AVERAGE(L21:L$22)/100,4)</f>
        <v>1.44E-2</v>
      </c>
    </row>
    <row r="22" spans="1:34" s="2707" customFormat="1" ht="13.5" thickBot="1">
      <c r="A22" s="2703" t="s">
        <v>960</v>
      </c>
      <c r="B22" s="2704">
        <f t="shared" si="40"/>
        <v>307.34512863658733</v>
      </c>
      <c r="C22" s="2704">
        <f t="shared" si="40"/>
        <v>257.80556031626975</v>
      </c>
      <c r="D22" s="2704">
        <f t="shared" si="35"/>
        <v>257.80556031626975</v>
      </c>
      <c r="E22" s="2704">
        <f t="shared" si="41"/>
        <v>422.70928459677179</v>
      </c>
      <c r="F22" s="2704">
        <f t="shared" si="41"/>
        <v>229.73803270336617</v>
      </c>
      <c r="G22" s="3559"/>
      <c r="H22" s="2705">
        <v>1</v>
      </c>
      <c r="I22" s="2705">
        <v>2.97</v>
      </c>
      <c r="J22" s="2705">
        <v>2.34</v>
      </c>
      <c r="K22" s="2705">
        <v>3.28</v>
      </c>
      <c r="L22" s="2706">
        <v>1.36</v>
      </c>
      <c r="N22" s="2708">
        <f t="shared" si="37"/>
        <v>2.9700000000000001E-2</v>
      </c>
      <c r="O22" s="2709">
        <f t="shared" si="33"/>
        <v>2.3399999999999997E-2</v>
      </c>
      <c r="P22" s="2709">
        <f t="shared" si="33"/>
        <v>3.2799999999999996E-2</v>
      </c>
      <c r="Q22" s="2709">
        <f t="shared" si="33"/>
        <v>1.3600000000000001E-2</v>
      </c>
      <c r="R22" s="2710"/>
      <c r="S22" s="2711">
        <f>B22/B23-1</f>
        <v>2.7910129219355539E-2</v>
      </c>
      <c r="T22" s="2712">
        <f>C22/C23-1</f>
        <v>2.3037937762975247E-2</v>
      </c>
      <c r="U22" s="2712">
        <f>E22/E23-1</f>
        <v>3.3519033243940788E-2</v>
      </c>
      <c r="V22" s="2712">
        <f>F22/F23-1</f>
        <v>1.2061818076502862E-2</v>
      </c>
      <c r="W22" s="2779" t="s">
        <v>2641</v>
      </c>
      <c r="X22" s="2781">
        <v>1</v>
      </c>
      <c r="Y22" s="2781">
        <v>1</v>
      </c>
      <c r="Z22" s="2781">
        <v>1</v>
      </c>
      <c r="AA22" s="2781">
        <v>1</v>
      </c>
      <c r="AB22" s="2781">
        <v>1</v>
      </c>
      <c r="AD22" s="3025">
        <f>I22/100</f>
        <v>2.9700000000000001E-2</v>
      </c>
      <c r="AE22" s="3025">
        <f>J22/100</f>
        <v>2.3399999999999997E-2</v>
      </c>
      <c r="AF22" s="3025">
        <f>AE22</f>
        <v>2.3399999999999997E-2</v>
      </c>
      <c r="AG22" s="3025">
        <f>K22/100</f>
        <v>3.2799999999999996E-2</v>
      </c>
      <c r="AH22" s="3025">
        <f>L22/100</f>
        <v>1.3600000000000001E-2</v>
      </c>
    </row>
    <row r="23" spans="1:34" ht="13.5" thickBot="1">
      <c r="A23" s="2671" t="s">
        <v>2584</v>
      </c>
      <c r="B23" s="2677">
        <v>299</v>
      </c>
      <c r="C23" s="2677">
        <v>252</v>
      </c>
      <c r="D23" s="2677">
        <f t="shared" si="35"/>
        <v>252</v>
      </c>
      <c r="E23" s="2677">
        <v>409</v>
      </c>
      <c r="F23" s="2678">
        <v>227</v>
      </c>
      <c r="G23" s="3560">
        <v>2013</v>
      </c>
      <c r="H23" s="2713">
        <v>4</v>
      </c>
      <c r="I23" s="2713">
        <v>1.83</v>
      </c>
      <c r="J23" s="2713">
        <v>1.68</v>
      </c>
      <c r="K23" s="2713">
        <v>1.97</v>
      </c>
      <c r="L23" s="2714">
        <v>0.87</v>
      </c>
      <c r="N23" s="2693">
        <f t="shared" si="37"/>
        <v>1.83E-2</v>
      </c>
      <c r="O23" s="2694">
        <f t="shared" si="33"/>
        <v>1.6799999999999999E-2</v>
      </c>
      <c r="P23" s="2694">
        <f t="shared" si="33"/>
        <v>1.9699999999999999E-2</v>
      </c>
      <c r="Q23" s="2694">
        <f t="shared" si="33"/>
        <v>8.6999999999999994E-3</v>
      </c>
      <c r="R23" s="2682"/>
      <c r="S23" s="2683"/>
      <c r="T23" s="2684"/>
      <c r="U23" s="2684"/>
      <c r="V23" s="2684"/>
      <c r="X23" s="2684"/>
      <c r="Y23" s="2684"/>
      <c r="Z23" s="2684"/>
    </row>
    <row r="24" spans="1:34">
      <c r="A24" s="2671" t="s">
        <v>2585</v>
      </c>
      <c r="B24" s="2685">
        <f t="shared" ref="B24:C26" si="44">B23/(1+N23)</f>
        <v>293.62663262299913</v>
      </c>
      <c r="C24" s="2685">
        <f t="shared" si="44"/>
        <v>247.83634933123525</v>
      </c>
      <c r="D24" s="2685">
        <f t="shared" si="35"/>
        <v>247.83634933123525</v>
      </c>
      <c r="E24" s="2685">
        <f t="shared" ref="E24:F26" si="45">E23/(1+P23)</f>
        <v>401.09836226341076</v>
      </c>
      <c r="F24" s="2685">
        <f t="shared" si="45"/>
        <v>225.04213343908003</v>
      </c>
      <c r="G24" s="3561"/>
      <c r="H24" s="2696">
        <v>3</v>
      </c>
      <c r="I24" s="2696">
        <v>1.86</v>
      </c>
      <c r="J24" s="2696">
        <v>1.72</v>
      </c>
      <c r="K24" s="2696">
        <v>1.98</v>
      </c>
      <c r="L24" s="2697">
        <v>0.88</v>
      </c>
      <c r="N24" s="2680">
        <f t="shared" si="37"/>
        <v>1.8600000000000002E-2</v>
      </c>
      <c r="O24" s="2698">
        <f t="shared" si="33"/>
        <v>1.72E-2</v>
      </c>
      <c r="P24" s="2698">
        <f t="shared" si="33"/>
        <v>1.9799999999999998E-2</v>
      </c>
      <c r="Q24" s="2698">
        <f t="shared" si="33"/>
        <v>8.8000000000000005E-3</v>
      </c>
      <c r="R24" s="2682"/>
      <c r="S24" s="2680"/>
      <c r="T24" s="2681"/>
      <c r="U24" s="2681"/>
      <c r="V24" s="2681"/>
    </row>
    <row r="25" spans="1:34">
      <c r="A25" s="2671" t="s">
        <v>2586</v>
      </c>
      <c r="B25" s="2685">
        <f t="shared" si="44"/>
        <v>288.2649053828776</v>
      </c>
      <c r="C25" s="2685">
        <f t="shared" si="44"/>
        <v>243.64564425013293</v>
      </c>
      <c r="D25" s="2685">
        <f t="shared" si="35"/>
        <v>243.64564425013293</v>
      </c>
      <c r="E25" s="2685">
        <f t="shared" si="45"/>
        <v>393.31080825986544</v>
      </c>
      <c r="F25" s="2685">
        <f t="shared" si="45"/>
        <v>223.07903790551154</v>
      </c>
      <c r="G25" s="3561"/>
      <c r="H25" s="2676">
        <v>2</v>
      </c>
      <c r="I25" s="2676">
        <v>2.04</v>
      </c>
      <c r="J25" s="2676">
        <v>2.33</v>
      </c>
      <c r="K25" s="2676">
        <v>2.0699999999999998</v>
      </c>
      <c r="L25" s="2687">
        <v>0.69</v>
      </c>
      <c r="N25" s="2680">
        <f t="shared" si="37"/>
        <v>2.0400000000000001E-2</v>
      </c>
      <c r="O25" s="2698">
        <f t="shared" si="33"/>
        <v>2.3300000000000001E-2</v>
      </c>
      <c r="P25" s="2698">
        <f t="shared" si="33"/>
        <v>2.07E-2</v>
      </c>
      <c r="Q25" s="2698">
        <f t="shared" si="33"/>
        <v>6.8999999999999999E-3</v>
      </c>
      <c r="R25" s="2682"/>
      <c r="S25" s="2680"/>
      <c r="T25" s="2681"/>
      <c r="U25" s="2681"/>
      <c r="V25" s="2681"/>
      <c r="X25" s="2782"/>
      <c r="Y25" s="2784"/>
    </row>
    <row r="26" spans="1:34">
      <c r="A26" s="2671" t="s">
        <v>2587</v>
      </c>
      <c r="B26" s="2685">
        <f t="shared" si="44"/>
        <v>282.50186729015837</v>
      </c>
      <c r="C26" s="2685">
        <f t="shared" si="44"/>
        <v>238.09796174155468</v>
      </c>
      <c r="D26" s="2685">
        <f t="shared" si="35"/>
        <v>238.09796174155468</v>
      </c>
      <c r="E26" s="2685">
        <f t="shared" si="45"/>
        <v>385.33438646014054</v>
      </c>
      <c r="F26" s="2685">
        <f t="shared" si="45"/>
        <v>221.55034055567739</v>
      </c>
      <c r="G26" s="3562"/>
      <c r="H26" s="2675">
        <v>1</v>
      </c>
      <c r="I26" s="2675">
        <v>1.67</v>
      </c>
      <c r="J26" s="2675">
        <v>1.31</v>
      </c>
      <c r="K26" s="2675">
        <v>1.85</v>
      </c>
      <c r="L26" s="2686">
        <v>0.96</v>
      </c>
      <c r="N26" s="2688">
        <f t="shared" si="37"/>
        <v>1.67E-2</v>
      </c>
      <c r="O26" s="2689">
        <f t="shared" si="33"/>
        <v>1.3100000000000001E-2</v>
      </c>
      <c r="P26" s="2689">
        <f t="shared" si="33"/>
        <v>1.8500000000000003E-2</v>
      </c>
      <c r="Q26" s="2689">
        <f t="shared" si="33"/>
        <v>9.5999999999999992E-3</v>
      </c>
      <c r="R26" s="2682"/>
      <c r="S26" s="2688">
        <f>B26/B27-1</f>
        <v>1.6193767230785472E-2</v>
      </c>
      <c r="T26" s="2689">
        <f>C26/C27-1</f>
        <v>1.7512657015190891E-2</v>
      </c>
      <c r="U26" s="2689">
        <f>E26/E27-1</f>
        <v>1.6713420739157048E-2</v>
      </c>
      <c r="V26" s="2689">
        <f>F26/F27-1</f>
        <v>7.0470025258062563E-3</v>
      </c>
      <c r="X26" s="2783"/>
      <c r="Y26" s="2690"/>
      <c r="Z26" s="2690"/>
    </row>
    <row r="27" spans="1:34" ht="13.5" thickBot="1">
      <c r="A27" s="2671" t="s">
        <v>2588</v>
      </c>
      <c r="B27" s="2715">
        <v>278</v>
      </c>
      <c r="C27" s="2715">
        <v>234</v>
      </c>
      <c r="D27" s="2715">
        <f t="shared" si="35"/>
        <v>234</v>
      </c>
      <c r="E27" s="2715">
        <v>379</v>
      </c>
      <c r="F27" s="2716">
        <v>220</v>
      </c>
      <c r="G27" s="3557">
        <v>2012</v>
      </c>
      <c r="H27" s="2691">
        <v>4</v>
      </c>
      <c r="I27" s="2691">
        <v>0.91</v>
      </c>
      <c r="J27" s="2691">
        <v>0.68</v>
      </c>
      <c r="K27" s="2691">
        <v>0.98</v>
      </c>
      <c r="L27" s="2692">
        <v>0.9</v>
      </c>
      <c r="N27" s="2680">
        <f t="shared" si="37"/>
        <v>9.1000000000000004E-3</v>
      </c>
      <c r="O27" s="2681">
        <f t="shared" si="37"/>
        <v>6.8000000000000005E-3</v>
      </c>
      <c r="P27" s="2681">
        <f t="shared" si="37"/>
        <v>9.7999999999999997E-3</v>
      </c>
      <c r="Q27" s="2681">
        <f t="shared" si="37"/>
        <v>9.0000000000000011E-3</v>
      </c>
      <c r="R27" s="2682"/>
      <c r="S27" s="2683"/>
      <c r="T27" s="2684"/>
      <c r="U27" s="2684"/>
      <c r="V27" s="2684"/>
      <c r="X27" s="2684"/>
      <c r="Y27" s="2684"/>
      <c r="Z27" s="2684"/>
    </row>
    <row r="28" spans="1:34">
      <c r="A28" s="2671" t="s">
        <v>2589</v>
      </c>
      <c r="B28" s="2685">
        <f>B27/(1+N27)</f>
        <v>275.49301357645425</v>
      </c>
      <c r="C28" s="2685">
        <f>C27/(1+O27)</f>
        <v>232.41954707985698</v>
      </c>
      <c r="D28" s="2685">
        <f t="shared" si="35"/>
        <v>232.41954707985698</v>
      </c>
      <c r="E28" s="2685">
        <f t="shared" ref="E28:F30" si="46">E27/(1+P27)</f>
        <v>375.32184591008121</v>
      </c>
      <c r="F28" s="2685">
        <f t="shared" si="46"/>
        <v>218.03766105054513</v>
      </c>
      <c r="G28" s="3558"/>
      <c r="H28" s="2696">
        <v>3</v>
      </c>
      <c r="I28" s="2696">
        <v>0.09</v>
      </c>
      <c r="J28" s="2696">
        <v>0.28999999999999998</v>
      </c>
      <c r="K28" s="2696">
        <v>-0.01</v>
      </c>
      <c r="L28" s="2697">
        <v>0.57999999999999996</v>
      </c>
      <c r="N28" s="2680">
        <f t="shared" si="37"/>
        <v>8.9999999999999998E-4</v>
      </c>
      <c r="O28" s="2681">
        <f t="shared" si="37"/>
        <v>2.8999999999999998E-3</v>
      </c>
      <c r="P28" s="2681">
        <f t="shared" si="37"/>
        <v>-1E-4</v>
      </c>
      <c r="Q28" s="2681">
        <f t="shared" si="37"/>
        <v>5.7999999999999996E-3</v>
      </c>
      <c r="R28" s="2682"/>
      <c r="S28" s="2680"/>
      <c r="T28" s="2681"/>
      <c r="U28" s="2681"/>
      <c r="V28" s="2681"/>
    </row>
    <row r="29" spans="1:34">
      <c r="A29" s="2671" t="s">
        <v>2590</v>
      </c>
      <c r="B29" s="2685">
        <f>B28/(1+N28)</f>
        <v>275.24529281292263</v>
      </c>
      <c r="C29" s="2685">
        <f>C28/(1+O28)</f>
        <v>231.74747938962707</v>
      </c>
      <c r="D29" s="2685">
        <f t="shared" si="35"/>
        <v>231.74747938962707</v>
      </c>
      <c r="E29" s="2685">
        <f t="shared" si="46"/>
        <v>375.35938184826603</v>
      </c>
      <c r="F29" s="2685">
        <f t="shared" si="46"/>
        <v>216.78033510692495</v>
      </c>
      <c r="G29" s="3558"/>
      <c r="H29" s="2676">
        <v>2</v>
      </c>
      <c r="I29" s="2676">
        <v>0.02</v>
      </c>
      <c r="J29" s="2676">
        <v>0.12</v>
      </c>
      <c r="K29" s="2676">
        <v>-0.08</v>
      </c>
      <c r="L29" s="2687">
        <v>1.24</v>
      </c>
      <c r="N29" s="2680">
        <f t="shared" si="37"/>
        <v>2.0000000000000001E-4</v>
      </c>
      <c r="O29" s="2681">
        <f t="shared" si="37"/>
        <v>1.1999999999999999E-3</v>
      </c>
      <c r="P29" s="2681">
        <f t="shared" si="37"/>
        <v>-8.0000000000000004E-4</v>
      </c>
      <c r="Q29" s="2681">
        <f t="shared" si="37"/>
        <v>1.24E-2</v>
      </c>
      <c r="R29" s="2682"/>
      <c r="S29" s="2680"/>
      <c r="T29" s="2681"/>
      <c r="U29" s="2681"/>
      <c r="V29" s="2681"/>
    </row>
    <row r="30" spans="1:34" ht="13.5" thickBot="1">
      <c r="A30" s="2671" t="s">
        <v>2591</v>
      </c>
      <c r="B30" s="2685">
        <f>B29/(1+N29)</f>
        <v>275.19025476197027</v>
      </c>
      <c r="C30" s="2717">
        <v>232</v>
      </c>
      <c r="D30" s="2717">
        <f t="shared" si="35"/>
        <v>232</v>
      </c>
      <c r="E30" s="2685">
        <f t="shared" si="46"/>
        <v>375.65990977608692</v>
      </c>
      <c r="F30" s="2685">
        <f t="shared" si="46"/>
        <v>214.12518283971252</v>
      </c>
      <c r="G30" s="3559"/>
      <c r="H30" s="2675">
        <v>1</v>
      </c>
      <c r="I30" s="2675">
        <v>0.02</v>
      </c>
      <c r="J30" s="2675">
        <v>0.13</v>
      </c>
      <c r="K30" s="2675">
        <v>-0.04</v>
      </c>
      <c r="L30" s="2686">
        <v>0.46</v>
      </c>
      <c r="N30" s="2680">
        <f t="shared" si="37"/>
        <v>2.0000000000000001E-4</v>
      </c>
      <c r="O30" s="2681">
        <f t="shared" si="37"/>
        <v>1.2999999999999999E-3</v>
      </c>
      <c r="P30" s="2681">
        <f t="shared" si="37"/>
        <v>-4.0000000000000002E-4</v>
      </c>
      <c r="Q30" s="2681">
        <f t="shared" si="37"/>
        <v>4.5999999999999999E-3</v>
      </c>
      <c r="R30" s="2682"/>
      <c r="S30" s="2688">
        <f>B30/B31-1</f>
        <v>6.9183549807361189E-4</v>
      </c>
      <c r="T30" s="2689">
        <f>C30/C31-1</f>
        <v>0</v>
      </c>
      <c r="U30" s="2689">
        <f>E30/E31-1</f>
        <v>-9.0449527636460303E-4</v>
      </c>
      <c r="V30" s="2689">
        <f>F30/F31-1</f>
        <v>5.2825485432512753E-3</v>
      </c>
      <c r="X30" s="2690"/>
      <c r="Y30" s="2690"/>
      <c r="Z30" s="2690"/>
    </row>
    <row r="31" spans="1:34" ht="13.5" thickBot="1">
      <c r="A31" s="2671" t="s">
        <v>2592</v>
      </c>
      <c r="B31" s="2677">
        <v>275</v>
      </c>
      <c r="C31" s="2677">
        <v>232</v>
      </c>
      <c r="D31" s="2677">
        <f t="shared" si="35"/>
        <v>232</v>
      </c>
      <c r="E31" s="2677">
        <v>376</v>
      </c>
      <c r="F31" s="2678">
        <v>213</v>
      </c>
      <c r="G31" s="3557">
        <v>2011</v>
      </c>
      <c r="H31" s="2691">
        <v>4</v>
      </c>
      <c r="I31" s="2691">
        <v>-0.2</v>
      </c>
      <c r="J31" s="2691">
        <v>0.04</v>
      </c>
      <c r="K31" s="2691">
        <v>-0.34</v>
      </c>
      <c r="L31" s="2692">
        <v>0.46</v>
      </c>
      <c r="N31" s="2693">
        <f t="shared" si="37"/>
        <v>-2E-3</v>
      </c>
      <c r="O31" s="2694">
        <f t="shared" si="37"/>
        <v>4.0000000000000002E-4</v>
      </c>
      <c r="P31" s="2694">
        <f t="shared" si="37"/>
        <v>-3.4000000000000002E-3</v>
      </c>
      <c r="Q31" s="2694">
        <f t="shared" si="37"/>
        <v>4.5999999999999999E-3</v>
      </c>
      <c r="R31" s="2682"/>
      <c r="S31" s="2683"/>
      <c r="T31" s="2684"/>
      <c r="U31" s="2684"/>
      <c r="V31" s="2684"/>
      <c r="X31" s="2684"/>
      <c r="Y31" s="2684"/>
      <c r="Z31" s="2684"/>
    </row>
    <row r="32" spans="1:34">
      <c r="A32" s="2671" t="s">
        <v>2593</v>
      </c>
      <c r="B32" s="2685">
        <f t="shared" ref="B32:C34" si="47">B31/(1+N31)</f>
        <v>275.55110220440883</v>
      </c>
      <c r="C32" s="2685">
        <f t="shared" si="47"/>
        <v>231.90723710515795</v>
      </c>
      <c r="D32" s="2685">
        <f t="shared" si="35"/>
        <v>231.90723710515795</v>
      </c>
      <c r="E32" s="2685">
        <f t="shared" ref="E32:F34" si="48">E31/(1+P31)</f>
        <v>377.28276138872161</v>
      </c>
      <c r="F32" s="2685">
        <f t="shared" si="48"/>
        <v>212.02468644236512</v>
      </c>
      <c r="G32" s="3558">
        <v>2011</v>
      </c>
      <c r="H32" s="2696">
        <v>3</v>
      </c>
      <c r="I32" s="2696">
        <v>0.13</v>
      </c>
      <c r="J32" s="2696">
        <v>0.75</v>
      </c>
      <c r="K32" s="2696">
        <v>-0.08</v>
      </c>
      <c r="L32" s="2697">
        <v>0.53</v>
      </c>
      <c r="N32" s="2680">
        <f t="shared" si="37"/>
        <v>1.2999999999999999E-3</v>
      </c>
      <c r="O32" s="2698">
        <f t="shared" si="37"/>
        <v>7.4999999999999997E-3</v>
      </c>
      <c r="P32" s="2698">
        <f t="shared" si="37"/>
        <v>-8.0000000000000004E-4</v>
      </c>
      <c r="Q32" s="2698">
        <f t="shared" si="37"/>
        <v>5.3E-3</v>
      </c>
      <c r="R32" s="2682"/>
      <c r="S32" s="2680"/>
      <c r="T32" s="2681"/>
      <c r="U32" s="2681"/>
      <c r="V32" s="2681"/>
    </row>
    <row r="33" spans="1:26">
      <c r="A33" s="2671" t="s">
        <v>2594</v>
      </c>
      <c r="B33" s="2685">
        <f t="shared" si="47"/>
        <v>275.19335084830601</v>
      </c>
      <c r="C33" s="2685">
        <f t="shared" si="47"/>
        <v>230.18088050139744</v>
      </c>
      <c r="D33" s="2685">
        <f t="shared" si="35"/>
        <v>230.18088050139744</v>
      </c>
      <c r="E33" s="2685">
        <f t="shared" si="48"/>
        <v>377.58482925212331</v>
      </c>
      <c r="F33" s="2685">
        <f t="shared" si="48"/>
        <v>210.90687997847917</v>
      </c>
      <c r="G33" s="3558">
        <v>2011</v>
      </c>
      <c r="H33" s="2676">
        <v>2</v>
      </c>
      <c r="I33" s="2676">
        <v>-0.4</v>
      </c>
      <c r="J33" s="2676">
        <v>0.17</v>
      </c>
      <c r="K33" s="2676">
        <v>-0.57999999999999996</v>
      </c>
      <c r="L33" s="2687">
        <v>-0.2</v>
      </c>
      <c r="N33" s="2680">
        <f t="shared" si="37"/>
        <v>-4.0000000000000001E-3</v>
      </c>
      <c r="O33" s="2698">
        <f t="shared" si="37"/>
        <v>1.7000000000000001E-3</v>
      </c>
      <c r="P33" s="2698">
        <f t="shared" si="37"/>
        <v>-5.7999999999999996E-3</v>
      </c>
      <c r="Q33" s="2698">
        <f t="shared" si="37"/>
        <v>-2E-3</v>
      </c>
      <c r="R33" s="2682"/>
      <c r="S33" s="2680"/>
      <c r="T33" s="2681"/>
      <c r="U33" s="2681"/>
      <c r="V33" s="2681"/>
    </row>
    <row r="34" spans="1:26" ht="13.5" thickBot="1">
      <c r="A34" s="2671" t="s">
        <v>2595</v>
      </c>
      <c r="B34" s="2685">
        <f t="shared" si="47"/>
        <v>276.29854502841971</v>
      </c>
      <c r="C34" s="2685">
        <f t="shared" si="47"/>
        <v>229.79023709833027</v>
      </c>
      <c r="D34" s="2685">
        <f t="shared" si="35"/>
        <v>229.79023709833027</v>
      </c>
      <c r="E34" s="2685">
        <f t="shared" si="48"/>
        <v>379.78759731655936</v>
      </c>
      <c r="F34" s="2685">
        <f t="shared" si="48"/>
        <v>211.32953905659235</v>
      </c>
      <c r="G34" s="3559">
        <v>2011</v>
      </c>
      <c r="H34" s="2675">
        <v>1</v>
      </c>
      <c r="I34" s="2675">
        <v>2.65</v>
      </c>
      <c r="J34" s="2675">
        <v>3.76</v>
      </c>
      <c r="K34" s="2675">
        <v>1.89</v>
      </c>
      <c r="L34" s="2686">
        <v>7.95</v>
      </c>
      <c r="N34" s="2688">
        <f t="shared" si="37"/>
        <v>2.6499999999999999E-2</v>
      </c>
      <c r="O34" s="2689">
        <f t="shared" si="37"/>
        <v>3.7599999999999995E-2</v>
      </c>
      <c r="P34" s="2689">
        <f t="shared" si="37"/>
        <v>1.89E-2</v>
      </c>
      <c r="Q34" s="2689">
        <f t="shared" si="37"/>
        <v>7.9500000000000001E-2</v>
      </c>
      <c r="R34" s="2682"/>
      <c r="S34" s="2688">
        <f>B34/B35-1</f>
        <v>2.713213765211786E-2</v>
      </c>
      <c r="T34" s="2689">
        <f>C34/C35-1</f>
        <v>3.9774828499231862E-2</v>
      </c>
      <c r="U34" s="2689">
        <f>E34/E35-1</f>
        <v>1.8197311840641772E-2</v>
      </c>
      <c r="V34" s="2689">
        <f>F34/F35-1</f>
        <v>7.8211933962205826E-2</v>
      </c>
      <c r="X34" s="2690"/>
      <c r="Y34" s="2690"/>
      <c r="Z34" s="2690"/>
    </row>
    <row r="35" spans="1:26" ht="13.5" thickBot="1">
      <c r="A35" s="2671" t="s">
        <v>2596</v>
      </c>
      <c r="B35" s="2677">
        <v>269</v>
      </c>
      <c r="C35" s="2677">
        <v>221</v>
      </c>
      <c r="D35" s="2677">
        <f t="shared" si="35"/>
        <v>221</v>
      </c>
      <c r="E35" s="2677">
        <v>373</v>
      </c>
      <c r="F35" s="2678">
        <v>196</v>
      </c>
      <c r="G35" s="3557">
        <v>2010</v>
      </c>
      <c r="H35" s="2691">
        <v>4</v>
      </c>
      <c r="I35" s="2691">
        <v>5.72</v>
      </c>
      <c r="J35" s="2691">
        <v>6.57</v>
      </c>
      <c r="K35" s="2691">
        <v>5.72</v>
      </c>
      <c r="L35" s="2692">
        <v>2.72</v>
      </c>
      <c r="N35" s="2680">
        <f t="shared" si="37"/>
        <v>5.7200000000000001E-2</v>
      </c>
      <c r="O35" s="2681">
        <f t="shared" si="37"/>
        <v>6.5700000000000008E-2</v>
      </c>
      <c r="P35" s="2681">
        <f t="shared" si="37"/>
        <v>5.7200000000000001E-2</v>
      </c>
      <c r="Q35" s="2681">
        <f t="shared" si="37"/>
        <v>2.7200000000000002E-2</v>
      </c>
      <c r="R35" s="2682"/>
      <c r="S35" s="2683"/>
      <c r="T35" s="2684"/>
      <c r="U35" s="2684"/>
      <c r="V35" s="2684"/>
      <c r="X35" s="2684"/>
      <c r="Y35" s="2684"/>
      <c r="Z35" s="2684"/>
    </row>
    <row r="36" spans="1:26">
      <c r="A36" s="2671" t="s">
        <v>2597</v>
      </c>
      <c r="B36" s="2685">
        <f t="shared" ref="B36:C38" si="49">B35/(1+N35)</f>
        <v>254.44570563753314</v>
      </c>
      <c r="C36" s="2685">
        <f t="shared" si="49"/>
        <v>207.37543398705074</v>
      </c>
      <c r="D36" s="2685">
        <f t="shared" si="35"/>
        <v>207.37543398705074</v>
      </c>
      <c r="E36" s="2685">
        <f t="shared" ref="E36:F38" si="50">E35/(1+P35)</f>
        <v>352.81876655315932</v>
      </c>
      <c r="F36" s="2685">
        <f t="shared" si="50"/>
        <v>190.809968847352</v>
      </c>
      <c r="G36" s="3558">
        <v>2010</v>
      </c>
      <c r="H36" s="2696">
        <v>3</v>
      </c>
      <c r="I36" s="2696">
        <v>4.7300000000000004</v>
      </c>
      <c r="J36" s="2696">
        <v>3.9</v>
      </c>
      <c r="K36" s="2696">
        <v>5.03</v>
      </c>
      <c r="L36" s="2697">
        <v>4.21</v>
      </c>
      <c r="N36" s="2680">
        <f t="shared" si="37"/>
        <v>4.7300000000000002E-2</v>
      </c>
      <c r="O36" s="2681">
        <f t="shared" si="37"/>
        <v>3.9E-2</v>
      </c>
      <c r="P36" s="2681">
        <f t="shared" si="37"/>
        <v>5.0300000000000004E-2</v>
      </c>
      <c r="Q36" s="2681">
        <f t="shared" si="37"/>
        <v>4.2099999999999999E-2</v>
      </c>
      <c r="R36" s="2682"/>
      <c r="S36" s="2680"/>
      <c r="T36" s="2681"/>
      <c r="U36" s="2681"/>
      <c r="V36" s="2681"/>
    </row>
    <row r="37" spans="1:26">
      <c r="A37" s="2671" t="s">
        <v>2598</v>
      </c>
      <c r="B37" s="2685">
        <f t="shared" si="49"/>
        <v>242.95398227588385</v>
      </c>
      <c r="C37" s="2685">
        <f t="shared" si="49"/>
        <v>199.59137053614126</v>
      </c>
      <c r="D37" s="2685">
        <f t="shared" si="35"/>
        <v>199.59137053614126</v>
      </c>
      <c r="E37" s="2685">
        <f t="shared" si="50"/>
        <v>335.92189522342125</v>
      </c>
      <c r="F37" s="2685">
        <f t="shared" si="50"/>
        <v>183.10139991109489</v>
      </c>
      <c r="G37" s="3558">
        <v>2010</v>
      </c>
      <c r="H37" s="2676">
        <v>2</v>
      </c>
      <c r="I37" s="2676">
        <v>4.6900000000000004</v>
      </c>
      <c r="J37" s="2676">
        <v>3.55</v>
      </c>
      <c r="K37" s="2676">
        <v>5.07</v>
      </c>
      <c r="L37" s="2687">
        <v>4.2300000000000004</v>
      </c>
      <c r="N37" s="2680">
        <f t="shared" si="37"/>
        <v>4.6900000000000004E-2</v>
      </c>
      <c r="O37" s="2681">
        <f t="shared" si="37"/>
        <v>3.5499999999999997E-2</v>
      </c>
      <c r="P37" s="2681">
        <f t="shared" si="37"/>
        <v>5.0700000000000002E-2</v>
      </c>
      <c r="Q37" s="2681">
        <f t="shared" si="37"/>
        <v>4.2300000000000004E-2</v>
      </c>
      <c r="R37" s="2682"/>
      <c r="S37" s="2680"/>
      <c r="T37" s="2681"/>
      <c r="U37" s="2681"/>
      <c r="V37" s="2681"/>
    </row>
    <row r="38" spans="1:26" ht="13.5" thickBot="1">
      <c r="A38" s="2671" t="s">
        <v>2599</v>
      </c>
      <c r="B38" s="2685">
        <f t="shared" si="49"/>
        <v>232.06990378821649</v>
      </c>
      <c r="C38" s="2685">
        <f t="shared" si="49"/>
        <v>192.74878854286936</v>
      </c>
      <c r="D38" s="2685">
        <f t="shared" si="35"/>
        <v>192.74878854286936</v>
      </c>
      <c r="E38" s="2685">
        <f t="shared" si="50"/>
        <v>319.71247284992984</v>
      </c>
      <c r="F38" s="2685">
        <f t="shared" si="50"/>
        <v>175.67053622862409</v>
      </c>
      <c r="G38" s="3559">
        <v>2010</v>
      </c>
      <c r="H38" s="2675">
        <v>1</v>
      </c>
      <c r="I38" s="2675">
        <v>5.4</v>
      </c>
      <c r="J38" s="2675">
        <v>3.2</v>
      </c>
      <c r="K38" s="2675">
        <v>6.16</v>
      </c>
      <c r="L38" s="2686">
        <v>4.51</v>
      </c>
      <c r="N38" s="2680">
        <f t="shared" si="37"/>
        <v>5.4000000000000006E-2</v>
      </c>
      <c r="O38" s="2681">
        <f t="shared" si="37"/>
        <v>3.2000000000000001E-2</v>
      </c>
      <c r="P38" s="2681">
        <f t="shared" si="37"/>
        <v>6.1600000000000002E-2</v>
      </c>
      <c r="Q38" s="2681">
        <f t="shared" si="37"/>
        <v>4.5100000000000001E-2</v>
      </c>
      <c r="R38" s="2682"/>
      <c r="S38" s="2688">
        <f>B38/B39-1</f>
        <v>5.4863199037347599E-2</v>
      </c>
      <c r="T38" s="2689">
        <f>C38/C39-1</f>
        <v>3.0742184721226584E-2</v>
      </c>
      <c r="U38" s="2689">
        <f>E38/E39-1</f>
        <v>6.2167683886810154E-2</v>
      </c>
      <c r="V38" s="2689">
        <f>F38/F39-1</f>
        <v>4.5657953741810031E-2</v>
      </c>
      <c r="X38" s="2690"/>
      <c r="Y38" s="2690"/>
      <c r="Z38" s="2690"/>
    </row>
    <row r="39" spans="1:26" ht="13.5" thickBot="1">
      <c r="A39" s="2671" t="s">
        <v>2600</v>
      </c>
      <c r="B39" s="2677">
        <v>220</v>
      </c>
      <c r="C39" s="2677">
        <v>187</v>
      </c>
      <c r="D39" s="2677">
        <f t="shared" si="35"/>
        <v>187</v>
      </c>
      <c r="E39" s="2677">
        <v>301</v>
      </c>
      <c r="F39" s="2678">
        <v>168</v>
      </c>
      <c r="G39" s="3557">
        <v>2009</v>
      </c>
      <c r="H39" s="2691">
        <v>4</v>
      </c>
      <c r="I39" s="2691">
        <v>2.2999999999999998</v>
      </c>
      <c r="J39" s="2691">
        <v>1.04</v>
      </c>
      <c r="K39" s="2691">
        <v>2.84</v>
      </c>
      <c r="L39" s="2692">
        <v>0.67</v>
      </c>
      <c r="N39" s="2693">
        <f t="shared" si="37"/>
        <v>2.3E-2</v>
      </c>
      <c r="O39" s="2694">
        <f t="shared" si="37"/>
        <v>1.04E-2</v>
      </c>
      <c r="P39" s="2694">
        <f t="shared" si="37"/>
        <v>2.8399999999999998E-2</v>
      </c>
      <c r="Q39" s="2694">
        <f t="shared" si="37"/>
        <v>6.7000000000000002E-3</v>
      </c>
      <c r="R39" s="2682"/>
      <c r="S39" s="2683"/>
      <c r="T39" s="2684"/>
      <c r="U39" s="2684"/>
      <c r="V39" s="2684"/>
      <c r="X39" s="2684"/>
      <c r="Y39" s="2684"/>
      <c r="Z39" s="2684"/>
    </row>
    <row r="40" spans="1:26">
      <c r="A40" s="2671" t="s">
        <v>2601</v>
      </c>
      <c r="B40" s="2685">
        <f t="shared" ref="B40:C42" si="51">B39/(1+N39)</f>
        <v>215.05376344086022</v>
      </c>
      <c r="C40" s="2685">
        <f t="shared" si="51"/>
        <v>185.0752177355503</v>
      </c>
      <c r="D40" s="2685">
        <f t="shared" si="35"/>
        <v>185.0752177355503</v>
      </c>
      <c r="E40" s="2685">
        <f t="shared" ref="E40:F42" si="52">E39/(1+P39)</f>
        <v>292.68767016725008</v>
      </c>
      <c r="F40" s="2685">
        <f t="shared" si="52"/>
        <v>166.88189132810174</v>
      </c>
      <c r="G40" s="3558">
        <v>2009</v>
      </c>
      <c r="H40" s="2696">
        <v>3</v>
      </c>
      <c r="I40" s="2696">
        <v>2.1</v>
      </c>
      <c r="J40" s="2696">
        <v>1.86</v>
      </c>
      <c r="K40" s="2696">
        <v>2.29</v>
      </c>
      <c r="L40" s="2697">
        <v>0.85</v>
      </c>
      <c r="N40" s="2680">
        <f t="shared" si="37"/>
        <v>2.1000000000000001E-2</v>
      </c>
      <c r="O40" s="2698">
        <f t="shared" si="37"/>
        <v>1.8600000000000002E-2</v>
      </c>
      <c r="P40" s="2698">
        <f t="shared" si="37"/>
        <v>2.29E-2</v>
      </c>
      <c r="Q40" s="2698">
        <f t="shared" si="37"/>
        <v>8.5000000000000006E-3</v>
      </c>
      <c r="R40" s="2682"/>
      <c r="S40" s="2680"/>
      <c r="T40" s="2681"/>
      <c r="U40" s="2681"/>
      <c r="V40" s="2681"/>
    </row>
    <row r="41" spans="1:26">
      <c r="A41" s="2671" t="s">
        <v>2602</v>
      </c>
      <c r="B41" s="2685">
        <f t="shared" si="51"/>
        <v>210.630522469011</v>
      </c>
      <c r="C41" s="2685">
        <f t="shared" si="51"/>
        <v>181.69567812247232</v>
      </c>
      <c r="D41" s="2685">
        <f t="shared" si="35"/>
        <v>181.69567812247232</v>
      </c>
      <c r="E41" s="2685">
        <f t="shared" si="52"/>
        <v>286.13517466736738</v>
      </c>
      <c r="F41" s="2685">
        <f t="shared" si="52"/>
        <v>165.47535084591149</v>
      </c>
      <c r="G41" s="3558">
        <v>2009</v>
      </c>
      <c r="H41" s="2676">
        <v>2</v>
      </c>
      <c r="I41" s="2676">
        <v>0.86</v>
      </c>
      <c r="J41" s="2676">
        <v>-1.1299999999999999</v>
      </c>
      <c r="K41" s="2676">
        <v>1.79</v>
      </c>
      <c r="L41" s="2687">
        <v>-2.0699999999999998</v>
      </c>
      <c r="N41" s="2680">
        <f t="shared" si="37"/>
        <v>8.6E-3</v>
      </c>
      <c r="O41" s="2698">
        <f t="shared" si="37"/>
        <v>-1.1299999999999999E-2</v>
      </c>
      <c r="P41" s="2698">
        <f t="shared" si="37"/>
        <v>1.7899999999999999E-2</v>
      </c>
      <c r="Q41" s="2698">
        <f t="shared" si="37"/>
        <v>-2.07E-2</v>
      </c>
      <c r="R41" s="2682"/>
      <c r="S41" s="2680"/>
      <c r="T41" s="2681"/>
      <c r="U41" s="2681"/>
      <c r="V41" s="2681"/>
    </row>
    <row r="42" spans="1:26">
      <c r="A42" s="2671" t="s">
        <v>2603</v>
      </c>
      <c r="B42" s="2685">
        <f t="shared" si="51"/>
        <v>208.83454537875372</v>
      </c>
      <c r="C42" s="2685">
        <f t="shared" si="51"/>
        <v>183.77230517090351</v>
      </c>
      <c r="D42" s="2685">
        <f t="shared" si="35"/>
        <v>183.77230517090351</v>
      </c>
      <c r="E42" s="2685">
        <f t="shared" si="52"/>
        <v>281.10342338870947</v>
      </c>
      <c r="F42" s="2685">
        <f t="shared" si="52"/>
        <v>168.97309388942256</v>
      </c>
      <c r="G42" s="3559">
        <v>2009</v>
      </c>
      <c r="H42" s="2675">
        <v>1</v>
      </c>
      <c r="I42" s="2675">
        <v>-2.64</v>
      </c>
      <c r="J42" s="2675">
        <v>-2.5299999999999998</v>
      </c>
      <c r="K42" s="2675">
        <v>-3.02</v>
      </c>
      <c r="L42" s="2686">
        <v>1.52</v>
      </c>
      <c r="N42" s="2688">
        <f t="shared" si="37"/>
        <v>-2.64E-2</v>
      </c>
      <c r="O42" s="2689">
        <f t="shared" si="37"/>
        <v>-2.53E-2</v>
      </c>
      <c r="P42" s="2689">
        <f t="shared" si="37"/>
        <v>-3.0200000000000001E-2</v>
      </c>
      <c r="Q42" s="2689">
        <f t="shared" si="37"/>
        <v>1.52E-2</v>
      </c>
      <c r="R42" s="2682"/>
      <c r="S42" s="2688">
        <f>B42/B43-1</f>
        <v>-2.4137638417038754E-2</v>
      </c>
      <c r="T42" s="2689">
        <f>C42/C43-1</f>
        <v>-2.248773845264096E-2</v>
      </c>
      <c r="U42" s="2689">
        <f>E42/E43-1</f>
        <v>-2.7323794502735366E-2</v>
      </c>
      <c r="V42" s="2689">
        <f>F42/F43-1</f>
        <v>1.7910204153148035E-2</v>
      </c>
      <c r="X42" s="2690"/>
      <c r="Y42" s="2690"/>
      <c r="Z42" s="2690"/>
    </row>
    <row r="43" spans="1:26" ht="13.5" thickBot="1">
      <c r="A43" s="2671" t="s">
        <v>2604</v>
      </c>
      <c r="B43" s="2715">
        <v>214</v>
      </c>
      <c r="C43" s="2715">
        <v>188</v>
      </c>
      <c r="D43" s="2715">
        <f t="shared" si="35"/>
        <v>188</v>
      </c>
      <c r="E43" s="2715">
        <v>289</v>
      </c>
      <c r="F43" s="2716">
        <v>166</v>
      </c>
      <c r="G43" s="3557">
        <v>2008</v>
      </c>
      <c r="H43" s="2691">
        <v>4</v>
      </c>
      <c r="I43" s="2691">
        <v>1.73</v>
      </c>
      <c r="J43" s="2691">
        <v>0.03</v>
      </c>
      <c r="K43" s="2691">
        <v>2.59</v>
      </c>
      <c r="L43" s="2692">
        <v>-1.66</v>
      </c>
      <c r="N43" s="2680">
        <f t="shared" si="37"/>
        <v>1.7299999999999999E-2</v>
      </c>
      <c r="O43" s="2681">
        <f t="shared" si="37"/>
        <v>2.9999999999999997E-4</v>
      </c>
      <c r="P43" s="2681">
        <f t="shared" si="37"/>
        <v>2.5899999999999999E-2</v>
      </c>
      <c r="Q43" s="2681">
        <f t="shared" si="37"/>
        <v>-1.66E-2</v>
      </c>
      <c r="R43" s="2682"/>
      <c r="S43" s="2683"/>
      <c r="T43" s="2684"/>
      <c r="U43" s="2684"/>
      <c r="V43" s="2684"/>
      <c r="X43" s="2684"/>
      <c r="Y43" s="2684"/>
      <c r="Z43" s="2684"/>
    </row>
    <row r="44" spans="1:26">
      <c r="A44" s="2671" t="s">
        <v>2605</v>
      </c>
      <c r="B44" s="2685">
        <f t="shared" ref="B44:C46" si="53">B43/(1+N43)</f>
        <v>210.36075887152265</v>
      </c>
      <c r="C44" s="2685">
        <f t="shared" si="53"/>
        <v>187.94361691492554</v>
      </c>
      <c r="D44" s="2685">
        <f t="shared" si="35"/>
        <v>187.94361691492554</v>
      </c>
      <c r="E44" s="2685">
        <f t="shared" ref="E44:F46" si="54">E43/(1+P43)</f>
        <v>281.70386977288234</v>
      </c>
      <c r="F44" s="2685">
        <f t="shared" si="54"/>
        <v>168.80211511083994</v>
      </c>
      <c r="G44" s="3558">
        <v>2008</v>
      </c>
      <c r="H44" s="2696">
        <v>3</v>
      </c>
      <c r="I44" s="2696">
        <v>1.96</v>
      </c>
      <c r="J44" s="2696">
        <v>2.36</v>
      </c>
      <c r="K44" s="2696">
        <v>1.82</v>
      </c>
      <c r="L44" s="2697">
        <v>2.2200000000000002</v>
      </c>
      <c r="N44" s="2680">
        <f t="shared" si="37"/>
        <v>1.9599999999999999E-2</v>
      </c>
      <c r="O44" s="2681">
        <f t="shared" si="37"/>
        <v>2.3599999999999999E-2</v>
      </c>
      <c r="P44" s="2681">
        <f t="shared" si="37"/>
        <v>1.8200000000000001E-2</v>
      </c>
      <c r="Q44" s="2681">
        <f t="shared" si="37"/>
        <v>2.2200000000000001E-2</v>
      </c>
      <c r="R44" s="2682"/>
      <c r="S44" s="2680"/>
      <c r="T44" s="2681"/>
      <c r="U44" s="2681"/>
      <c r="V44" s="2681"/>
    </row>
    <row r="45" spans="1:26">
      <c r="A45" s="2671" t="s">
        <v>2606</v>
      </c>
      <c r="B45" s="2685">
        <f t="shared" si="53"/>
        <v>206.31694671589116</v>
      </c>
      <c r="C45" s="2685">
        <f t="shared" si="53"/>
        <v>183.61041121036101</v>
      </c>
      <c r="D45" s="2685">
        <f t="shared" si="35"/>
        <v>183.61041121036101</v>
      </c>
      <c r="E45" s="2685">
        <f t="shared" si="54"/>
        <v>276.66850301795557</v>
      </c>
      <c r="F45" s="2685">
        <f t="shared" si="54"/>
        <v>165.1360938278614</v>
      </c>
      <c r="G45" s="3558">
        <v>2008</v>
      </c>
      <c r="H45" s="2676">
        <v>2</v>
      </c>
      <c r="I45" s="2676">
        <v>4.93</v>
      </c>
      <c r="J45" s="2676">
        <v>7.38</v>
      </c>
      <c r="K45" s="2676">
        <v>3.98</v>
      </c>
      <c r="L45" s="2687">
        <v>6.86</v>
      </c>
      <c r="N45" s="2680">
        <f t="shared" si="37"/>
        <v>4.9299999999999997E-2</v>
      </c>
      <c r="O45" s="2681">
        <f t="shared" si="37"/>
        <v>7.3800000000000004E-2</v>
      </c>
      <c r="P45" s="2681">
        <f t="shared" si="37"/>
        <v>3.9800000000000002E-2</v>
      </c>
      <c r="Q45" s="2681">
        <f t="shared" si="37"/>
        <v>6.8600000000000008E-2</v>
      </c>
      <c r="R45" s="2682"/>
      <c r="S45" s="2680"/>
      <c r="T45" s="2681"/>
      <c r="U45" s="2681"/>
      <c r="V45" s="2681"/>
    </row>
    <row r="46" spans="1:26" s="2721" customFormat="1" ht="13.5" thickBot="1">
      <c r="A46" s="2671" t="s">
        <v>2607</v>
      </c>
      <c r="B46" s="2718">
        <f t="shared" si="53"/>
        <v>196.62341248059772</v>
      </c>
      <c r="C46" s="2718">
        <f t="shared" si="53"/>
        <v>170.99125648199012</v>
      </c>
      <c r="D46" s="2718">
        <f t="shared" si="35"/>
        <v>170.99125648199012</v>
      </c>
      <c r="E46" s="2718">
        <f t="shared" si="54"/>
        <v>266.07857570490052</v>
      </c>
      <c r="F46" s="2718">
        <f t="shared" si="54"/>
        <v>154.53499328828505</v>
      </c>
      <c r="G46" s="3559">
        <v>2008</v>
      </c>
      <c r="H46" s="2719">
        <v>1</v>
      </c>
      <c r="I46" s="2719">
        <v>4.1399999999999997</v>
      </c>
      <c r="J46" s="2719">
        <v>3.45</v>
      </c>
      <c r="K46" s="2719">
        <v>4.95</v>
      </c>
      <c r="L46" s="2720">
        <v>4.82</v>
      </c>
      <c r="N46" s="2722">
        <f t="shared" si="37"/>
        <v>4.1399999999999999E-2</v>
      </c>
      <c r="O46" s="2723">
        <f t="shared" si="37"/>
        <v>3.4500000000000003E-2</v>
      </c>
      <c r="P46" s="2723">
        <f t="shared" si="37"/>
        <v>4.9500000000000002E-2</v>
      </c>
      <c r="Q46" s="2723">
        <f t="shared" si="37"/>
        <v>4.82E-2</v>
      </c>
      <c r="R46" s="2724"/>
      <c r="S46" s="2722">
        <f>B46/B47-1</f>
        <v>4.5869215322328349E-2</v>
      </c>
      <c r="T46" s="2723">
        <f>C46/C47-1</f>
        <v>3.6310645345394743E-2</v>
      </c>
      <c r="U46" s="2723">
        <f>E46/E47-1</f>
        <v>4.7553447657088688E-2</v>
      </c>
      <c r="V46" s="2723">
        <f>F46/F47-1</f>
        <v>4.4155360055980086E-2</v>
      </c>
      <c r="X46" s="2725"/>
      <c r="Y46" s="2725"/>
      <c r="Z46" s="2725"/>
    </row>
    <row r="47" spans="1:26" ht="13.5" thickBot="1">
      <c r="A47" s="2671" t="s">
        <v>2608</v>
      </c>
      <c r="B47" s="2677">
        <v>188</v>
      </c>
      <c r="C47" s="2677">
        <v>165</v>
      </c>
      <c r="D47" s="2677">
        <f t="shared" si="35"/>
        <v>165</v>
      </c>
      <c r="E47" s="2677">
        <v>254</v>
      </c>
      <c r="F47" s="2678">
        <v>148</v>
      </c>
      <c r="G47" s="3557">
        <v>2007</v>
      </c>
      <c r="H47" s="2726">
        <v>4</v>
      </c>
      <c r="I47" s="2726">
        <v>5.51</v>
      </c>
      <c r="J47" s="2726">
        <v>4.8899999999999997</v>
      </c>
      <c r="K47" s="2726">
        <v>6.43</v>
      </c>
      <c r="L47" s="2727">
        <v>5.36</v>
      </c>
      <c r="N47" s="2728">
        <f t="shared" ref="N47:O50" si="55">B47/B48-1</f>
        <v>4.1339718365245526E-2</v>
      </c>
      <c r="O47" s="2729">
        <f t="shared" si="55"/>
        <v>4.0324492593776018E-2</v>
      </c>
      <c r="P47" s="2729">
        <f t="shared" ref="P47:Q50" si="56">E47/E48-1</f>
        <v>6.1625555347990968E-2</v>
      </c>
      <c r="Q47" s="2729">
        <f t="shared" si="56"/>
        <v>4.6757569250590603E-2</v>
      </c>
      <c r="R47" s="2682"/>
      <c r="S47" s="2683"/>
      <c r="T47" s="2684"/>
      <c r="U47" s="2684"/>
      <c r="V47" s="2684"/>
      <c r="X47" s="2684"/>
      <c r="Y47" s="2684"/>
      <c r="Z47" s="2684"/>
    </row>
    <row r="48" spans="1:26">
      <c r="A48" s="2671" t="s">
        <v>2609</v>
      </c>
      <c r="B48" s="2685">
        <f t="shared" ref="B48:C50" si="57">B49+(B$47-B$51)*I48/SUM(I$47:I$50)</f>
        <v>180.5366651097618</v>
      </c>
      <c r="C48" s="2685">
        <f t="shared" si="57"/>
        <v>158.60435967302453</v>
      </c>
      <c r="D48" s="2685">
        <f t="shared" si="35"/>
        <v>158.60435967302453</v>
      </c>
      <c r="E48" s="2685">
        <f t="shared" ref="E48:F50" si="58">E49+(E$47-E$51)*K48/SUM(K$47:K$50)</f>
        <v>239.25573260785075</v>
      </c>
      <c r="F48" s="2685">
        <f t="shared" si="58"/>
        <v>141.38899430740037</v>
      </c>
      <c r="G48" s="3558">
        <v>2007</v>
      </c>
      <c r="H48" s="2696">
        <v>3</v>
      </c>
      <c r="I48" s="2696">
        <v>8.65</v>
      </c>
      <c r="J48" s="2696">
        <v>8.06</v>
      </c>
      <c r="K48" s="2696">
        <v>9.94</v>
      </c>
      <c r="L48" s="2697">
        <v>5.8</v>
      </c>
      <c r="N48" s="2728">
        <f t="shared" si="55"/>
        <v>6.940217571740015E-2</v>
      </c>
      <c r="O48" s="2729">
        <f t="shared" si="55"/>
        <v>7.1197482471153428E-2</v>
      </c>
      <c r="P48" s="2729">
        <f t="shared" si="56"/>
        <v>0.10529679922579582</v>
      </c>
      <c r="Q48" s="2729">
        <f t="shared" si="56"/>
        <v>5.3292245059512133E-2</v>
      </c>
      <c r="R48" s="2682"/>
      <c r="S48" s="2680"/>
      <c r="T48" s="2681"/>
      <c r="U48" s="2681"/>
      <c r="V48" s="2681"/>
      <c r="X48" s="2730"/>
      <c r="Y48" s="2730"/>
      <c r="Z48" s="2730"/>
    </row>
    <row r="49" spans="1:26">
      <c r="A49" s="2671" t="s">
        <v>2610</v>
      </c>
      <c r="B49" s="2685">
        <f t="shared" si="57"/>
        <v>168.82017748715555</v>
      </c>
      <c r="C49" s="2685">
        <f t="shared" si="57"/>
        <v>148.06267029972753</v>
      </c>
      <c r="D49" s="2685">
        <f t="shared" si="35"/>
        <v>148.06267029972753</v>
      </c>
      <c r="E49" s="2685">
        <f t="shared" si="58"/>
        <v>216.46288379323747</v>
      </c>
      <c r="F49" s="2685">
        <f t="shared" si="58"/>
        <v>134.23529411764704</v>
      </c>
      <c r="G49" s="3558">
        <v>2007</v>
      </c>
      <c r="H49" s="2676">
        <v>2</v>
      </c>
      <c r="I49" s="2676">
        <v>3.67</v>
      </c>
      <c r="J49" s="2676">
        <v>2.3199999999999998</v>
      </c>
      <c r="K49" s="2676">
        <v>5.0199999999999996</v>
      </c>
      <c r="L49" s="2687">
        <v>6.71</v>
      </c>
      <c r="N49" s="2728">
        <f t="shared" si="55"/>
        <v>3.0339138143848032E-2</v>
      </c>
      <c r="O49" s="2729">
        <f t="shared" si="55"/>
        <v>2.0922341588790472E-2</v>
      </c>
      <c r="P49" s="2729">
        <f t="shared" si="56"/>
        <v>5.6164796592717003E-2</v>
      </c>
      <c r="Q49" s="2729">
        <f t="shared" si="56"/>
        <v>6.5704536723887319E-2</v>
      </c>
      <c r="R49" s="2682"/>
      <c r="S49" s="2680"/>
      <c r="T49" s="2681"/>
      <c r="U49" s="2681"/>
      <c r="V49" s="2681"/>
      <c r="X49" s="2730"/>
      <c r="Y49" s="2730"/>
      <c r="Z49" s="2730"/>
    </row>
    <row r="50" spans="1:26">
      <c r="A50" s="2671" t="s">
        <v>2611</v>
      </c>
      <c r="B50" s="2685">
        <f t="shared" si="57"/>
        <v>163.84913591779542</v>
      </c>
      <c r="C50" s="2685">
        <f t="shared" si="57"/>
        <v>145.0283378746594</v>
      </c>
      <c r="D50" s="2685">
        <f t="shared" si="35"/>
        <v>145.0283378746594</v>
      </c>
      <c r="E50" s="2685">
        <f t="shared" si="58"/>
        <v>204.95180722891567</v>
      </c>
      <c r="F50" s="2685">
        <f t="shared" si="58"/>
        <v>125.95920303605313</v>
      </c>
      <c r="G50" s="3559">
        <v>2007</v>
      </c>
      <c r="H50" s="2675">
        <v>1</v>
      </c>
      <c r="I50" s="2675">
        <v>3.58</v>
      </c>
      <c r="J50" s="2675">
        <v>3.08</v>
      </c>
      <c r="K50" s="2675">
        <v>4.34</v>
      </c>
      <c r="L50" s="2686">
        <v>3.21</v>
      </c>
      <c r="N50" s="2731">
        <f t="shared" si="55"/>
        <v>3.0497710174814063E-2</v>
      </c>
      <c r="O50" s="2732">
        <f t="shared" si="55"/>
        <v>2.8569772160704998E-2</v>
      </c>
      <c r="P50" s="2732">
        <f t="shared" si="56"/>
        <v>5.1034908866234296E-2</v>
      </c>
      <c r="Q50" s="2732">
        <f t="shared" si="56"/>
        <v>3.245248390207478E-2</v>
      </c>
      <c r="R50" s="2682"/>
      <c r="S50" s="2688">
        <f>B50/B51-1</f>
        <v>3.0497710174814063E-2</v>
      </c>
      <c r="T50" s="2689">
        <f>C50/C51-1</f>
        <v>2.8569772160704998E-2</v>
      </c>
      <c r="U50" s="2689">
        <f>E50/E51-1</f>
        <v>5.1034908866234296E-2</v>
      </c>
      <c r="V50" s="2689">
        <f>F50/F51-1</f>
        <v>3.245248390207478E-2</v>
      </c>
      <c r="X50" s="2730"/>
      <c r="Y50" s="2730"/>
      <c r="Z50" s="2730"/>
    </row>
    <row r="51" spans="1:26" ht="13.5" thickBot="1">
      <c r="A51" s="2671" t="s">
        <v>2612</v>
      </c>
      <c r="B51" s="2699">
        <v>159</v>
      </c>
      <c r="C51" s="2699">
        <v>141</v>
      </c>
      <c r="D51" s="2699">
        <f t="shared" si="35"/>
        <v>141</v>
      </c>
      <c r="E51" s="2699">
        <v>195</v>
      </c>
      <c r="F51" s="2700">
        <v>122</v>
      </c>
      <c r="G51" s="3557">
        <v>2006</v>
      </c>
      <c r="H51" s="2691">
        <v>4</v>
      </c>
      <c r="I51" s="2691">
        <v>3.79</v>
      </c>
      <c r="J51" s="2691">
        <v>2.21</v>
      </c>
      <c r="K51" s="2691">
        <v>5.65</v>
      </c>
      <c r="L51" s="2692">
        <v>5.41</v>
      </c>
      <c r="N51" s="2728">
        <f t="shared" ref="N51:O54" si="59">I51/SUM(I$51:I$54)*(B$51/B$55-1)</f>
        <v>7.245466462748526E-2</v>
      </c>
      <c r="O51" s="2729">
        <f t="shared" si="59"/>
        <v>2.3237230038062766E-2</v>
      </c>
      <c r="P51" s="2729">
        <f t="shared" ref="P51:Q54" si="60">K51/SUM(K$51:K$54)*(E$51/E$55-1)</f>
        <v>0.16146893866323722</v>
      </c>
      <c r="Q51" s="2729">
        <f t="shared" si="60"/>
        <v>5.0755230321793784E-2</v>
      </c>
      <c r="R51" s="2682"/>
      <c r="S51" s="2683"/>
      <c r="T51" s="2684"/>
      <c r="U51" s="2684"/>
      <c r="V51" s="2684"/>
      <c r="X51" s="2730"/>
      <c r="Y51" s="2730"/>
      <c r="Z51" s="2730"/>
    </row>
    <row r="52" spans="1:26">
      <c r="A52" s="2671" t="s">
        <v>2613</v>
      </c>
      <c r="B52" s="2685">
        <f t="shared" ref="B52:C54" si="61">B53+(B$51-B$55)*I52/SUM(I$51:I$54)</f>
        <v>149.00125628140702</v>
      </c>
      <c r="C52" s="2685">
        <f t="shared" si="61"/>
        <v>137.95592286501378</v>
      </c>
      <c r="D52" s="2685">
        <f t="shared" si="35"/>
        <v>137.95592286501378</v>
      </c>
      <c r="E52" s="2685">
        <f t="shared" ref="E52:F54" si="62">E53+(E$51-E$55)*K52/SUM(K$51:K$54)</f>
        <v>169.97231450719823</v>
      </c>
      <c r="F52" s="2685">
        <f t="shared" si="62"/>
        <v>116.21390374331551</v>
      </c>
      <c r="G52" s="3558">
        <v>2006</v>
      </c>
      <c r="H52" s="2696">
        <v>3</v>
      </c>
      <c r="I52" s="2696">
        <v>0.92</v>
      </c>
      <c r="J52" s="2696">
        <v>1.08</v>
      </c>
      <c r="K52" s="2696">
        <v>0.73</v>
      </c>
      <c r="L52" s="2697">
        <v>1.08</v>
      </c>
      <c r="N52" s="2728">
        <f t="shared" si="59"/>
        <v>1.7587939698492462E-2</v>
      </c>
      <c r="O52" s="2729">
        <f t="shared" si="59"/>
        <v>1.1355750425840628E-2</v>
      </c>
      <c r="P52" s="2729">
        <f t="shared" si="60"/>
        <v>2.0862358446754544E-2</v>
      </c>
      <c r="Q52" s="2729">
        <f t="shared" si="60"/>
        <v>1.0132282578103011E-2</v>
      </c>
      <c r="R52" s="2682"/>
      <c r="S52" s="2680"/>
      <c r="T52" s="2681"/>
      <c r="U52" s="2681"/>
      <c r="V52" s="2681"/>
      <c r="X52" s="2730"/>
      <c r="Y52" s="2730"/>
      <c r="Z52" s="2730"/>
    </row>
    <row r="53" spans="1:26">
      <c r="A53" s="2671" t="s">
        <v>2614</v>
      </c>
      <c r="B53" s="2685">
        <f t="shared" si="61"/>
        <v>146.57412060301507</v>
      </c>
      <c r="C53" s="2685">
        <f t="shared" si="61"/>
        <v>136.46831955922866</v>
      </c>
      <c r="D53" s="2685">
        <f t="shared" si="35"/>
        <v>136.46831955922866</v>
      </c>
      <c r="E53" s="2685">
        <f t="shared" si="62"/>
        <v>166.73864894795128</v>
      </c>
      <c r="F53" s="2685">
        <f t="shared" si="62"/>
        <v>115.05882352941177</v>
      </c>
      <c r="G53" s="3558">
        <v>2006</v>
      </c>
      <c r="H53" s="2676">
        <v>2</v>
      </c>
      <c r="I53" s="2676">
        <v>0.96</v>
      </c>
      <c r="J53" s="2676">
        <v>0.25</v>
      </c>
      <c r="K53" s="2676">
        <v>1.9</v>
      </c>
      <c r="L53" s="2687">
        <v>0.95</v>
      </c>
      <c r="N53" s="2728">
        <f t="shared" si="59"/>
        <v>1.8352632728861701E-2</v>
      </c>
      <c r="O53" s="2729">
        <f t="shared" si="59"/>
        <v>2.6286459319075526E-3</v>
      </c>
      <c r="P53" s="2729">
        <f t="shared" si="60"/>
        <v>5.4299289107991269E-2</v>
      </c>
      <c r="Q53" s="2729">
        <f t="shared" si="60"/>
        <v>8.9126559714794995E-3</v>
      </c>
      <c r="R53" s="2682"/>
      <c r="S53" s="2680"/>
      <c r="T53" s="2681"/>
      <c r="U53" s="2681"/>
      <c r="V53" s="2681"/>
      <c r="X53" s="2730"/>
      <c r="Y53" s="2730"/>
      <c r="Z53" s="2730"/>
    </row>
    <row r="54" spans="1:26">
      <c r="A54" s="2671" t="s">
        <v>2615</v>
      </c>
      <c r="B54" s="2685">
        <f t="shared" si="61"/>
        <v>144.04145728643215</v>
      </c>
      <c r="C54" s="2685">
        <f t="shared" si="61"/>
        <v>136.12396694214877</v>
      </c>
      <c r="D54" s="2685">
        <f t="shared" si="35"/>
        <v>136.12396694214877</v>
      </c>
      <c r="E54" s="2685">
        <f t="shared" si="62"/>
        <v>158.32225913621264</v>
      </c>
      <c r="F54" s="2685">
        <f t="shared" si="62"/>
        <v>114.04278074866311</v>
      </c>
      <c r="G54" s="3559">
        <v>2006</v>
      </c>
      <c r="H54" s="2675">
        <v>1</v>
      </c>
      <c r="I54" s="2675">
        <v>2.29</v>
      </c>
      <c r="J54" s="2675">
        <v>3.72</v>
      </c>
      <c r="K54" s="2675">
        <v>0.75</v>
      </c>
      <c r="L54" s="2686">
        <v>0.04</v>
      </c>
      <c r="N54" s="2731">
        <f t="shared" si="59"/>
        <v>4.3778675988638847E-2</v>
      </c>
      <c r="O54" s="2732">
        <f t="shared" si="59"/>
        <v>3.9114251466784385E-2</v>
      </c>
      <c r="P54" s="2732">
        <f t="shared" si="60"/>
        <v>2.1433929911049188E-2</v>
      </c>
      <c r="Q54" s="2732">
        <f t="shared" si="60"/>
        <v>3.7526972511492629E-4</v>
      </c>
      <c r="R54" s="2682"/>
      <c r="S54" s="2688">
        <f>B54/B55-1</f>
        <v>4.3778675988638716E-2</v>
      </c>
      <c r="T54" s="2689">
        <f>C54/C55-1</f>
        <v>3.91142514667846E-2</v>
      </c>
      <c r="U54" s="2689">
        <f>E54/E55-1</f>
        <v>2.143392991104931E-2</v>
      </c>
      <c r="V54" s="2689">
        <f>F54/F55-1</f>
        <v>3.7526972511492396E-4</v>
      </c>
      <c r="X54" s="2730"/>
      <c r="Y54" s="2730"/>
      <c r="Z54" s="2730"/>
    </row>
    <row r="55" spans="1:26" ht="13.5" thickBot="1">
      <c r="A55" s="2671" t="s">
        <v>2616</v>
      </c>
      <c r="B55" s="2699">
        <v>138</v>
      </c>
      <c r="C55" s="2699">
        <v>131</v>
      </c>
      <c r="D55" s="2699">
        <f t="shared" si="35"/>
        <v>131</v>
      </c>
      <c r="E55" s="2699">
        <v>155</v>
      </c>
      <c r="F55" s="2700">
        <v>114</v>
      </c>
      <c r="G55" s="3557">
        <v>2005</v>
      </c>
      <c r="H55" s="2691">
        <v>4</v>
      </c>
      <c r="I55" s="2691">
        <v>3.29</v>
      </c>
      <c r="J55" s="2691">
        <v>1.44</v>
      </c>
      <c r="K55" s="2691">
        <v>0.66</v>
      </c>
      <c r="L55" s="2692">
        <v>7.78</v>
      </c>
      <c r="N55" s="2728">
        <f t="shared" ref="N55:O58" si="63">I55/SUM(I$55:I$58)*(B$55/B$59-1)</f>
        <v>9.9404603216919935E-2</v>
      </c>
      <c r="O55" s="2729">
        <f t="shared" si="63"/>
        <v>4.7636550760861554E-2</v>
      </c>
      <c r="P55" s="2729">
        <f t="shared" ref="P55:Q58" si="64">K55/SUM(K$55:K$58)*(E$55/E$59-1)</f>
        <v>8.3756345177664976E-2</v>
      </c>
      <c r="Q55" s="2729">
        <f t="shared" si="64"/>
        <v>5.2148766661559584E-2</v>
      </c>
      <c r="R55" s="2682"/>
      <c r="S55" s="2683"/>
      <c r="T55" s="2684"/>
      <c r="U55" s="2684"/>
      <c r="V55" s="2684"/>
      <c r="X55" s="2730"/>
      <c r="Y55" s="2730"/>
      <c r="Z55" s="2730"/>
    </row>
    <row r="56" spans="1:26">
      <c r="A56" s="2671" t="s">
        <v>2617</v>
      </c>
      <c r="B56" s="2685">
        <f t="shared" ref="B56:C58" si="65">B57+(B$55-B$59)*I56/SUM(I$55:I$58)</f>
        <v>125.9720430107527</v>
      </c>
      <c r="C56" s="2685">
        <f t="shared" si="65"/>
        <v>125.1883408071749</v>
      </c>
      <c r="D56" s="2685">
        <f t="shared" si="35"/>
        <v>125.1883408071749</v>
      </c>
      <c r="E56" s="2685">
        <f t="shared" ref="E56:F58" si="66">E57+(E$55-E$59)*K56/SUM(K$55:K$58)</f>
        <v>144.61421319796952</v>
      </c>
      <c r="F56" s="2685">
        <f t="shared" si="66"/>
        <v>108.42008196721311</v>
      </c>
      <c r="G56" s="3558">
        <v>2005</v>
      </c>
      <c r="H56" s="2696">
        <v>3</v>
      </c>
      <c r="I56" s="2696">
        <v>0.46</v>
      </c>
      <c r="J56" s="2696">
        <v>0.32</v>
      </c>
      <c r="K56" s="2696">
        <v>0.42</v>
      </c>
      <c r="L56" s="2697">
        <v>0.64</v>
      </c>
      <c r="N56" s="2728">
        <f t="shared" si="63"/>
        <v>1.3898515951301874E-2</v>
      </c>
      <c r="O56" s="2729">
        <f t="shared" si="63"/>
        <v>1.0585900169080346E-2</v>
      </c>
      <c r="P56" s="2729">
        <f t="shared" si="64"/>
        <v>5.3299492385786795E-2</v>
      </c>
      <c r="Q56" s="2729">
        <f t="shared" si="64"/>
        <v>4.2898728359123568E-3</v>
      </c>
      <c r="R56" s="2682"/>
      <c r="S56" s="2680"/>
      <c r="T56" s="2681"/>
      <c r="U56" s="2681"/>
      <c r="V56" s="2681"/>
      <c r="X56" s="2730"/>
      <c r="Y56" s="2730"/>
      <c r="Z56" s="2730"/>
    </row>
    <row r="57" spans="1:26">
      <c r="A57" s="2671" t="s">
        <v>2618</v>
      </c>
      <c r="B57" s="2685">
        <f t="shared" si="65"/>
        <v>124.29032258064517</v>
      </c>
      <c r="C57" s="2685">
        <f t="shared" si="65"/>
        <v>123.8968609865471</v>
      </c>
      <c r="D57" s="2685">
        <f t="shared" si="35"/>
        <v>123.8968609865471</v>
      </c>
      <c r="E57" s="2685">
        <f t="shared" si="66"/>
        <v>138.00507614213197</v>
      </c>
      <c r="F57" s="2685">
        <f t="shared" si="66"/>
        <v>107.96106557377048</v>
      </c>
      <c r="G57" s="3558">
        <v>2005</v>
      </c>
      <c r="H57" s="2676">
        <v>2</v>
      </c>
      <c r="I57" s="2676">
        <v>0.47</v>
      </c>
      <c r="J57" s="2676">
        <v>0.1</v>
      </c>
      <c r="K57" s="2676">
        <v>0.52</v>
      </c>
      <c r="L57" s="2687">
        <v>0.79</v>
      </c>
      <c r="N57" s="2728">
        <f t="shared" si="63"/>
        <v>1.420065760241713E-2</v>
      </c>
      <c r="O57" s="2729">
        <f t="shared" si="63"/>
        <v>3.3080938028376083E-3</v>
      </c>
      <c r="P57" s="2729">
        <f t="shared" si="64"/>
        <v>6.598984771573603E-2</v>
      </c>
      <c r="Q57" s="2729">
        <f t="shared" si="64"/>
        <v>5.2953117818293153E-3</v>
      </c>
      <c r="R57" s="2682"/>
      <c r="S57" s="2680"/>
      <c r="T57" s="2681"/>
      <c r="U57" s="2681"/>
      <c r="V57" s="2681"/>
      <c r="X57" s="2730"/>
      <c r="Y57" s="2730"/>
      <c r="Z57" s="2730"/>
    </row>
    <row r="58" spans="1:26">
      <c r="A58" s="2671" t="s">
        <v>2619</v>
      </c>
      <c r="B58" s="2685">
        <f t="shared" si="65"/>
        <v>122.57204301075269</v>
      </c>
      <c r="C58" s="2685">
        <f t="shared" si="65"/>
        <v>123.4932735426009</v>
      </c>
      <c r="D58" s="2685">
        <f t="shared" si="35"/>
        <v>123.4932735426009</v>
      </c>
      <c r="E58" s="2685">
        <f t="shared" si="66"/>
        <v>129.82233502538071</v>
      </c>
      <c r="F58" s="2685">
        <f t="shared" si="66"/>
        <v>107.39446721311475</v>
      </c>
      <c r="G58" s="3559">
        <v>2005</v>
      </c>
      <c r="H58" s="2675">
        <v>1</v>
      </c>
      <c r="I58" s="2675">
        <v>0.43</v>
      </c>
      <c r="J58" s="2675">
        <v>0.37</v>
      </c>
      <c r="K58" s="2675">
        <v>0.37</v>
      </c>
      <c r="L58" s="2686">
        <v>0.55000000000000004</v>
      </c>
      <c r="N58" s="2731">
        <f t="shared" si="63"/>
        <v>1.2992090997956099E-2</v>
      </c>
      <c r="O58" s="2732">
        <f t="shared" si="63"/>
        <v>1.2239947070499151E-2</v>
      </c>
      <c r="P58" s="2732">
        <f t="shared" si="64"/>
        <v>4.6954314720812178E-2</v>
      </c>
      <c r="Q58" s="2732">
        <f t="shared" si="64"/>
        <v>3.6866094683621815E-3</v>
      </c>
      <c r="R58" s="2682"/>
      <c r="S58" s="2688">
        <f>B58/B59-1</f>
        <v>1.2992090997956174E-2</v>
      </c>
      <c r="T58" s="2689">
        <f>C58/C59-1</f>
        <v>1.2239947070499246E-2</v>
      </c>
      <c r="U58" s="2689">
        <f>E58/E59-1</f>
        <v>4.695431472081224E-2</v>
      </c>
      <c r="V58" s="2689">
        <f>F58/F59-1</f>
        <v>3.6866094683620787E-3</v>
      </c>
      <c r="X58" s="2730"/>
      <c r="Y58" s="2730"/>
      <c r="Z58" s="2730"/>
    </row>
    <row r="59" spans="1:26" ht="13.5" thickBot="1">
      <c r="A59" s="2671" t="s">
        <v>2620</v>
      </c>
      <c r="B59" s="2715">
        <v>121</v>
      </c>
      <c r="C59" s="2715">
        <v>122</v>
      </c>
      <c r="D59" s="2715">
        <f t="shared" si="35"/>
        <v>122</v>
      </c>
      <c r="E59" s="2715">
        <v>124</v>
      </c>
      <c r="F59" s="2716">
        <v>107</v>
      </c>
      <c r="G59" s="3557">
        <v>2004</v>
      </c>
      <c r="H59" s="2691">
        <v>4</v>
      </c>
      <c r="I59" s="2691">
        <v>0.33</v>
      </c>
      <c r="J59" s="2691">
        <v>0.5</v>
      </c>
      <c r="K59" s="2691">
        <v>0.5</v>
      </c>
      <c r="L59" s="2692">
        <v>0</v>
      </c>
      <c r="N59" s="2728">
        <f t="shared" ref="N59:O62" si="67">I59/SUM(I$59:I$62)*(B$59/B$63-1)</f>
        <v>1.3391770148526898E-2</v>
      </c>
      <c r="O59" s="2729">
        <f t="shared" si="67"/>
        <v>1.063264221158958E-2</v>
      </c>
      <c r="P59" s="2729">
        <f t="shared" ref="P59:Q62" si="68">K59/SUM(K$59:K$62)*(E$59/E$63-1)</f>
        <v>2.2244466688911134E-2</v>
      </c>
      <c r="Q59" s="2729">
        <f t="shared" si="68"/>
        <v>0</v>
      </c>
      <c r="R59" s="2682"/>
      <c r="S59" s="2683"/>
      <c r="T59" s="2684"/>
      <c r="U59" s="2684"/>
      <c r="V59" s="2684"/>
      <c r="X59" s="2730"/>
      <c r="Y59" s="2730"/>
      <c r="Z59" s="2730"/>
    </row>
    <row r="60" spans="1:26">
      <c r="A60" s="2671" t="s">
        <v>2621</v>
      </c>
      <c r="B60" s="2685">
        <f t="shared" ref="B60:C62" si="69">B61+(B$59-B$63)*I60/SUM(I$59:I$62)</f>
        <v>119.51351351351352</v>
      </c>
      <c r="C60" s="2685">
        <f t="shared" si="69"/>
        <v>120.7878787878788</v>
      </c>
      <c r="D60" s="2685">
        <f t="shared" si="35"/>
        <v>120.7878787878788</v>
      </c>
      <c r="E60" s="2685">
        <f t="shared" ref="E60:F62" si="70">E61+(E$59-E$63)*K60/SUM(K$59:K$62)</f>
        <v>121.5975975975976</v>
      </c>
      <c r="F60" s="2685">
        <f t="shared" si="70"/>
        <v>107</v>
      </c>
      <c r="G60" s="3558">
        <v>2004</v>
      </c>
      <c r="H60" s="2696">
        <v>3</v>
      </c>
      <c r="I60" s="2696">
        <v>0.56000000000000005</v>
      </c>
      <c r="J60" s="2696">
        <v>0.8</v>
      </c>
      <c r="K60" s="2696">
        <v>0.83</v>
      </c>
      <c r="L60" s="2697">
        <v>0.06</v>
      </c>
      <c r="N60" s="2728">
        <f t="shared" si="67"/>
        <v>2.2725428130833527E-2</v>
      </c>
      <c r="O60" s="2729">
        <f t="shared" si="67"/>
        <v>1.7012227538543329E-2</v>
      </c>
      <c r="P60" s="2729">
        <f t="shared" si="68"/>
        <v>3.6925814703592477E-2</v>
      </c>
      <c r="Q60" s="2729">
        <f t="shared" si="68"/>
        <v>2.8846153846153744E-2</v>
      </c>
      <c r="R60" s="2682"/>
      <c r="S60" s="2680"/>
      <c r="T60" s="2681"/>
      <c r="U60" s="2681"/>
      <c r="V60" s="2681"/>
      <c r="X60" s="2730"/>
      <c r="Y60" s="2730"/>
      <c r="Z60" s="2730"/>
    </row>
    <row r="61" spans="1:26">
      <c r="A61" s="2671" t="s">
        <v>2622</v>
      </c>
      <c r="B61" s="2685">
        <f t="shared" si="69"/>
        <v>116.99099099099099</v>
      </c>
      <c r="C61" s="2685">
        <f t="shared" si="69"/>
        <v>118.84848484848486</v>
      </c>
      <c r="D61" s="2685">
        <f t="shared" si="35"/>
        <v>118.84848484848486</v>
      </c>
      <c r="E61" s="2685">
        <f t="shared" si="70"/>
        <v>117.60960960960961</v>
      </c>
      <c r="F61" s="2685">
        <f t="shared" si="70"/>
        <v>104</v>
      </c>
      <c r="G61" s="3558">
        <v>2004</v>
      </c>
      <c r="H61" s="2676">
        <v>2</v>
      </c>
      <c r="I61" s="2676">
        <v>1</v>
      </c>
      <c r="J61" s="2676">
        <v>1.5</v>
      </c>
      <c r="K61" s="2676">
        <v>1.5</v>
      </c>
      <c r="L61" s="2687">
        <v>0</v>
      </c>
      <c r="N61" s="2728">
        <f t="shared" si="67"/>
        <v>4.0581121662202721E-2</v>
      </c>
      <c r="O61" s="2729">
        <f t="shared" si="67"/>
        <v>3.1897926634768738E-2</v>
      </c>
      <c r="P61" s="2729">
        <f t="shared" si="68"/>
        <v>6.6733400066733395E-2</v>
      </c>
      <c r="Q61" s="2729">
        <f t="shared" si="68"/>
        <v>0</v>
      </c>
      <c r="R61" s="2682"/>
      <c r="S61" s="2680"/>
      <c r="T61" s="2681"/>
      <c r="U61" s="2681"/>
      <c r="V61" s="2681"/>
      <c r="X61" s="2730"/>
      <c r="Y61" s="2730"/>
      <c r="Z61" s="2730"/>
    </row>
    <row r="62" spans="1:26" s="2721" customFormat="1" ht="13.5" thickBot="1">
      <c r="A62" s="2671" t="s">
        <v>2623</v>
      </c>
      <c r="B62" s="2718">
        <f t="shared" si="69"/>
        <v>112.48648648648648</v>
      </c>
      <c r="C62" s="2718">
        <f t="shared" si="69"/>
        <v>115.21212121212122</v>
      </c>
      <c r="D62" s="2718">
        <f t="shared" si="35"/>
        <v>115.21212121212122</v>
      </c>
      <c r="E62" s="2718">
        <f t="shared" si="70"/>
        <v>110.4024024024024</v>
      </c>
      <c r="F62" s="2718">
        <f t="shared" si="70"/>
        <v>104</v>
      </c>
      <c r="G62" s="3559">
        <v>2004</v>
      </c>
      <c r="H62" s="2719">
        <v>1</v>
      </c>
      <c r="I62" s="2719">
        <v>0.33</v>
      </c>
      <c r="J62" s="2719">
        <v>0.5</v>
      </c>
      <c r="K62" s="2719">
        <v>0.5</v>
      </c>
      <c r="L62" s="2720">
        <v>0</v>
      </c>
      <c r="N62" s="2733">
        <f t="shared" si="67"/>
        <v>1.3391770148526898E-2</v>
      </c>
      <c r="O62" s="2734">
        <f t="shared" si="67"/>
        <v>1.063264221158958E-2</v>
      </c>
      <c r="P62" s="2734">
        <f t="shared" si="68"/>
        <v>2.2244466688911134E-2</v>
      </c>
      <c r="Q62" s="2734">
        <f t="shared" si="68"/>
        <v>0</v>
      </c>
      <c r="R62" s="2724"/>
      <c r="S62" s="2722">
        <f>B62/B63-1</f>
        <v>1.3391770148526883E-2</v>
      </c>
      <c r="T62" s="2723">
        <f>C62/C63-1</f>
        <v>1.063264221158966E-2</v>
      </c>
      <c r="U62" s="2723">
        <f>E62/E63-1</f>
        <v>2.2244466688911224E-2</v>
      </c>
      <c r="V62" s="2723">
        <f>F62/F63-1</f>
        <v>0</v>
      </c>
      <c r="X62" s="2735"/>
      <c r="Y62" s="2735"/>
      <c r="Z62" s="2735"/>
    </row>
    <row r="63" spans="1:26" ht="13.5" thickBot="1">
      <c r="A63" s="2671" t="s">
        <v>2624</v>
      </c>
      <c r="B63" s="2736">
        <v>111</v>
      </c>
      <c r="C63" s="2736">
        <v>114</v>
      </c>
      <c r="D63" s="2736">
        <f t="shared" si="35"/>
        <v>114</v>
      </c>
      <c r="E63" s="2736">
        <v>108</v>
      </c>
      <c r="F63" s="2737">
        <v>104</v>
      </c>
      <c r="G63" s="3557">
        <v>2003</v>
      </c>
      <c r="H63" s="2726">
        <v>4</v>
      </c>
      <c r="I63" s="2738"/>
      <c r="J63" s="2738"/>
      <c r="K63" s="2738"/>
      <c r="L63" s="2738"/>
      <c r="N63" s="2739"/>
      <c r="O63" s="2738"/>
      <c r="P63" s="2738"/>
      <c r="Q63" s="2738"/>
      <c r="S63" s="2739"/>
      <c r="T63" s="2738"/>
      <c r="U63" s="2738"/>
      <c r="V63" s="2738"/>
      <c r="X63" s="2730"/>
      <c r="Y63" s="2730"/>
      <c r="Z63" s="2730"/>
    </row>
    <row r="64" spans="1:26">
      <c r="A64" s="2671" t="s">
        <v>2625</v>
      </c>
      <c r="B64" s="2740">
        <f t="shared" ref="B64:C66" si="71">B65+(B$63-B$67)/4</f>
        <v>109.75</v>
      </c>
      <c r="C64" s="2740">
        <f t="shared" si="71"/>
        <v>112.25</v>
      </c>
      <c r="D64" s="2740">
        <f t="shared" si="35"/>
        <v>112.25</v>
      </c>
      <c r="E64" s="2740">
        <f t="shared" ref="E64:F66" si="72">E65+(E$63-E$67)/4</f>
        <v>107.25</v>
      </c>
      <c r="F64" s="2740">
        <f t="shared" si="72"/>
        <v>103.5</v>
      </c>
      <c r="G64" s="3558">
        <v>2003</v>
      </c>
      <c r="H64" s="2696">
        <v>3</v>
      </c>
      <c r="I64" s="2738"/>
      <c r="J64" s="2738"/>
      <c r="K64" s="2738"/>
      <c r="L64" s="2738"/>
      <c r="X64" s="2730"/>
      <c r="Y64" s="2730"/>
      <c r="Z64" s="2730"/>
    </row>
    <row r="65" spans="1:26">
      <c r="A65" s="2671" t="s">
        <v>2626</v>
      </c>
      <c r="B65" s="2740">
        <f t="shared" si="71"/>
        <v>108.5</v>
      </c>
      <c r="C65" s="2740">
        <f t="shared" si="71"/>
        <v>110.5</v>
      </c>
      <c r="D65" s="2740">
        <f t="shared" si="35"/>
        <v>110.5</v>
      </c>
      <c r="E65" s="2740">
        <f t="shared" si="72"/>
        <v>106.5</v>
      </c>
      <c r="F65" s="2740">
        <f t="shared" si="72"/>
        <v>103</v>
      </c>
      <c r="G65" s="3558">
        <v>2003</v>
      </c>
      <c r="H65" s="2676">
        <v>2</v>
      </c>
      <c r="I65" s="2738"/>
      <c r="J65" s="2738"/>
      <c r="K65" s="2738"/>
      <c r="L65" s="2738"/>
      <c r="X65" s="2730"/>
      <c r="Y65" s="2730"/>
      <c r="Z65" s="2730"/>
    </row>
    <row r="66" spans="1:26" ht="13.5" thickBot="1">
      <c r="A66" s="2671" t="s">
        <v>2627</v>
      </c>
      <c r="B66" s="2740">
        <f t="shared" si="71"/>
        <v>107.25</v>
      </c>
      <c r="C66" s="2740">
        <f t="shared" si="71"/>
        <v>108.75</v>
      </c>
      <c r="D66" s="2740">
        <f t="shared" si="35"/>
        <v>108.75</v>
      </c>
      <c r="E66" s="2740">
        <f t="shared" si="72"/>
        <v>105.75</v>
      </c>
      <c r="F66" s="2740">
        <f t="shared" si="72"/>
        <v>102.5</v>
      </c>
      <c r="G66" s="3559">
        <v>2003</v>
      </c>
      <c r="H66" s="2741">
        <v>1</v>
      </c>
      <c r="I66" s="2738"/>
      <c r="J66" s="2738"/>
      <c r="K66" s="2738"/>
      <c r="L66" s="2738"/>
      <c r="S66" s="2680"/>
      <c r="T66" s="2681"/>
      <c r="U66" s="2681"/>
      <c r="X66" s="2730"/>
      <c r="Y66" s="2730"/>
      <c r="Z66" s="2730"/>
    </row>
    <row r="67" spans="1:26" ht="13.5" thickBot="1">
      <c r="A67" s="2671" t="s">
        <v>2628</v>
      </c>
      <c r="B67" s="2742">
        <v>106</v>
      </c>
      <c r="C67" s="2742">
        <v>107</v>
      </c>
      <c r="D67" s="2742">
        <f t="shared" si="35"/>
        <v>107</v>
      </c>
      <c r="E67" s="2742">
        <v>105</v>
      </c>
      <c r="F67" s="2743">
        <v>102</v>
      </c>
      <c r="G67" s="3557">
        <v>2002</v>
      </c>
      <c r="H67" s="2691">
        <v>4</v>
      </c>
      <c r="I67" s="2738"/>
      <c r="J67" s="2738"/>
      <c r="K67" s="2738"/>
      <c r="L67" s="2738"/>
      <c r="N67" s="2739"/>
      <c r="O67" s="2738"/>
      <c r="P67" s="2738"/>
      <c r="Q67" s="2738"/>
      <c r="S67" s="2739"/>
      <c r="T67" s="2738"/>
      <c r="U67" s="2738"/>
      <c r="V67" s="2738"/>
      <c r="X67" s="2730"/>
      <c r="Y67" s="2730"/>
      <c r="Z67" s="2730"/>
    </row>
    <row r="68" spans="1:26">
      <c r="A68" s="2671" t="s">
        <v>2629</v>
      </c>
      <c r="B68" s="2740">
        <f t="shared" ref="B68:C70" si="73">B69+(B$67-B$71)/4</f>
        <v>105</v>
      </c>
      <c r="C68" s="2740">
        <f t="shared" si="73"/>
        <v>106</v>
      </c>
      <c r="D68" s="2740">
        <f t="shared" si="35"/>
        <v>106</v>
      </c>
      <c r="E68" s="2740">
        <f t="shared" ref="E68:F70" si="74">E69+(E$67-E$71)/4</f>
        <v>104.5</v>
      </c>
      <c r="F68" s="2740">
        <f t="shared" si="74"/>
        <v>101.5</v>
      </c>
      <c r="G68" s="3558">
        <v>2002</v>
      </c>
      <c r="H68" s="2696">
        <v>3</v>
      </c>
      <c r="I68" s="2738"/>
      <c r="J68" s="2738"/>
      <c r="K68" s="2738"/>
      <c r="L68" s="2738"/>
      <c r="X68" s="2730"/>
      <c r="Y68" s="2730"/>
      <c r="Z68" s="2730"/>
    </row>
    <row r="69" spans="1:26">
      <c r="A69" s="2671" t="s">
        <v>2630</v>
      </c>
      <c r="B69" s="2740">
        <f t="shared" si="73"/>
        <v>104</v>
      </c>
      <c r="C69" s="2740">
        <f t="shared" si="73"/>
        <v>105</v>
      </c>
      <c r="D69" s="2740">
        <f t="shared" si="35"/>
        <v>105</v>
      </c>
      <c r="E69" s="2740">
        <f t="shared" si="74"/>
        <v>104</v>
      </c>
      <c r="F69" s="2740">
        <f t="shared" si="74"/>
        <v>101</v>
      </c>
      <c r="G69" s="3558">
        <v>2002</v>
      </c>
      <c r="H69" s="2676">
        <v>2</v>
      </c>
      <c r="I69" s="2738"/>
      <c r="J69" s="2738"/>
      <c r="K69" s="2738"/>
      <c r="L69" s="2738"/>
      <c r="X69" s="2730"/>
      <c r="Y69" s="2730"/>
      <c r="Z69" s="2730"/>
    </row>
    <row r="70" spans="1:26" s="2707" customFormat="1" ht="13.5" thickBot="1">
      <c r="A70" s="2703" t="s">
        <v>2631</v>
      </c>
      <c r="B70" s="2744">
        <f t="shared" si="73"/>
        <v>103</v>
      </c>
      <c r="C70" s="2744">
        <f t="shared" si="73"/>
        <v>104</v>
      </c>
      <c r="D70" s="2744">
        <f t="shared" si="35"/>
        <v>104</v>
      </c>
      <c r="E70" s="2744">
        <f t="shared" si="74"/>
        <v>103.5</v>
      </c>
      <c r="F70" s="2744">
        <f t="shared" si="74"/>
        <v>100.5</v>
      </c>
      <c r="G70" s="3559">
        <v>2002</v>
      </c>
      <c r="H70" s="2745">
        <v>1</v>
      </c>
      <c r="I70" s="2746"/>
      <c r="J70" s="2746"/>
      <c r="K70" s="2746"/>
      <c r="L70" s="2746"/>
      <c r="N70" s="2747"/>
      <c r="S70" s="2747"/>
      <c r="X70" s="2748"/>
      <c r="Y70" s="2748"/>
      <c r="Z70" s="2748"/>
    </row>
    <row r="71" spans="1:26" ht="13.5" thickBot="1">
      <c r="B71" s="2749">
        <v>102</v>
      </c>
      <c r="C71" s="2750">
        <v>103</v>
      </c>
      <c r="D71" s="2750">
        <f t="shared" si="35"/>
        <v>103</v>
      </c>
      <c r="E71" s="2750">
        <v>103</v>
      </c>
      <c r="F71" s="2751">
        <v>100</v>
      </c>
      <c r="I71" s="2738"/>
      <c r="J71" s="2738"/>
      <c r="K71" s="2738"/>
      <c r="L71" s="2738"/>
      <c r="N71" s="2739"/>
      <c r="O71" s="2738"/>
      <c r="P71" s="2738"/>
      <c r="Q71" s="2738"/>
      <c r="S71" s="2739"/>
      <c r="T71" s="2738"/>
      <c r="U71" s="2738"/>
      <c r="V71" s="2738"/>
      <c r="X71" s="2684"/>
      <c r="Y71" s="2684"/>
      <c r="Z71" s="2684"/>
    </row>
    <row r="73" spans="1:26" s="2753" customFormat="1">
      <c r="A73" s="2752" t="s">
        <v>2632</v>
      </c>
      <c r="G73" s="2754"/>
      <c r="N73" s="2754"/>
      <c r="S73" s="2754"/>
    </row>
    <row r="74" spans="1:26" s="2753" customFormat="1">
      <c r="A74" s="2753" t="s">
        <v>2633</v>
      </c>
      <c r="G74" s="2754"/>
      <c r="N74" s="2754"/>
      <c r="S74" s="2754"/>
    </row>
    <row r="75" spans="1:26" s="2753" customFormat="1">
      <c r="A75" s="2753" t="s">
        <v>2634</v>
      </c>
      <c r="G75" s="2754"/>
      <c r="I75" s="2755"/>
      <c r="J75" s="2755"/>
      <c r="K75" s="2755"/>
      <c r="L75" s="2755"/>
      <c r="N75" s="2756"/>
      <c r="O75" s="2755"/>
      <c r="P75" s="2755"/>
      <c r="Q75" s="2755"/>
      <c r="S75" s="2756"/>
      <c r="T75" s="2755"/>
      <c r="U75" s="2755"/>
      <c r="V75" s="2755"/>
    </row>
    <row r="76" spans="1:26" s="2753" customFormat="1">
      <c r="A76" s="2753" t="s">
        <v>2635</v>
      </c>
      <c r="G76" s="2754"/>
      <c r="N76" s="2754"/>
      <c r="S76" s="2754"/>
    </row>
    <row r="83" spans="7:22" ht="13.5" thickBot="1"/>
    <row r="84" spans="7:22">
      <c r="G84" s="2679"/>
      <c r="S84" s="2757" t="s">
        <v>2636</v>
      </c>
      <c r="T84" s="2758" t="s">
        <v>2637</v>
      </c>
      <c r="U84" s="2758" t="s">
        <v>2638</v>
      </c>
      <c r="V84" s="2758" t="s">
        <v>2639</v>
      </c>
    </row>
    <row r="85" spans="7:22">
      <c r="G85" s="2679"/>
      <c r="N85" s="2683"/>
      <c r="O85" s="2684"/>
      <c r="P85" s="2684"/>
      <c r="Q85" s="2684"/>
      <c r="S85" s="2759">
        <v>2006</v>
      </c>
      <c r="T85" s="2760">
        <v>15.1</v>
      </c>
      <c r="U85" s="2760">
        <v>7.43</v>
      </c>
      <c r="V85" s="2760">
        <v>26.26</v>
      </c>
    </row>
    <row r="86" spans="7:22">
      <c r="G86" s="2679"/>
      <c r="N86" s="2683"/>
      <c r="O86" s="2684"/>
      <c r="P86" s="2684"/>
      <c r="Q86" s="2684"/>
      <c r="S86" s="2762">
        <v>2005</v>
      </c>
      <c r="T86" s="2761">
        <v>13.9</v>
      </c>
      <c r="U86" s="2761">
        <v>7.49</v>
      </c>
      <c r="V86" s="2761">
        <v>24.92</v>
      </c>
    </row>
    <row r="87" spans="7:22">
      <c r="G87" s="2679"/>
      <c r="N87" s="2683"/>
      <c r="O87" s="2684"/>
      <c r="P87" s="2684"/>
      <c r="Q87" s="2684"/>
      <c r="S87" s="2759">
        <v>2004</v>
      </c>
      <c r="T87" s="2760">
        <v>9.48</v>
      </c>
      <c r="U87" s="2760">
        <v>7.2</v>
      </c>
      <c r="V87" s="2760">
        <v>14.68</v>
      </c>
    </row>
    <row r="88" spans="7:22">
      <c r="G88" s="2679"/>
      <c r="N88" s="2683"/>
      <c r="O88" s="2684"/>
      <c r="P88" s="2684"/>
      <c r="Q88" s="2684"/>
      <c r="S88" s="2762">
        <v>2003</v>
      </c>
      <c r="T88" s="2761">
        <v>4.5</v>
      </c>
      <c r="U88" s="2761">
        <v>6.12</v>
      </c>
      <c r="V88" s="2761">
        <v>2.34</v>
      </c>
    </row>
    <row r="89" spans="7:22" ht="13.5" thickBot="1">
      <c r="G89" s="2679"/>
      <c r="N89" s="2683"/>
      <c r="O89" s="2684"/>
      <c r="P89" s="2684"/>
      <c r="Q89" s="2684"/>
      <c r="S89" s="2763">
        <v>2002</v>
      </c>
      <c r="T89" s="2764">
        <v>3.59</v>
      </c>
      <c r="U89" s="2764">
        <v>4.54</v>
      </c>
      <c r="V89" s="2764">
        <v>2.5499999999999998</v>
      </c>
    </row>
    <row r="90" spans="7:22">
      <c r="G90" s="2679"/>
      <c r="N90" s="2683"/>
      <c r="O90" s="2684"/>
      <c r="P90" s="2684"/>
      <c r="Q90" s="2684"/>
    </row>
    <row r="91" spans="7:22">
      <c r="G91" s="2679"/>
      <c r="N91" s="2683"/>
      <c r="O91" s="2684"/>
      <c r="P91" s="2684"/>
      <c r="Q91" s="2684"/>
    </row>
    <row r="92" spans="7:22">
      <c r="G92" s="2679"/>
      <c r="N92" s="2683"/>
      <c r="O92" s="2684"/>
      <c r="P92" s="2684"/>
      <c r="Q92" s="2684"/>
    </row>
    <row r="93" spans="7:22">
      <c r="G93" s="2679"/>
      <c r="N93" s="2683"/>
      <c r="O93" s="2684"/>
      <c r="P93" s="2684"/>
      <c r="Q93" s="2684"/>
    </row>
    <row r="94" spans="7:22">
      <c r="G94" s="2679"/>
      <c r="N94" s="2683"/>
      <c r="O94" s="2684"/>
      <c r="P94" s="2684"/>
      <c r="Q94" s="2684"/>
    </row>
    <row r="95" spans="7:22">
      <c r="G95" s="2679"/>
      <c r="N95" s="2683"/>
      <c r="O95" s="2684"/>
      <c r="P95" s="2684"/>
      <c r="Q95" s="2684"/>
    </row>
    <row r="96" spans="7:22">
      <c r="G96" s="2679"/>
      <c r="N96" s="2683"/>
      <c r="O96" s="2684"/>
      <c r="P96" s="2684"/>
      <c r="Q96" s="2684"/>
    </row>
    <row r="97" spans="7:19">
      <c r="G97" s="2679"/>
      <c r="N97" s="2683"/>
      <c r="O97" s="2684"/>
      <c r="P97" s="2684"/>
      <c r="Q97" s="2684"/>
    </row>
    <row r="98" spans="7:19">
      <c r="G98" s="2679"/>
      <c r="N98" s="2683"/>
      <c r="O98" s="2684"/>
      <c r="P98" s="2684"/>
      <c r="Q98" s="2684"/>
    </row>
    <row r="99" spans="7:19">
      <c r="G99" s="2679"/>
      <c r="N99" s="2683"/>
      <c r="O99" s="2684"/>
      <c r="P99" s="2684"/>
      <c r="Q99" s="2684"/>
    </row>
    <row r="100" spans="7:19">
      <c r="G100" s="2679"/>
      <c r="N100" s="2683"/>
      <c r="O100" s="2684"/>
      <c r="P100" s="2684"/>
      <c r="Q100" s="2684"/>
      <c r="S100" s="2679"/>
    </row>
    <row r="101" spans="7:19">
      <c r="G101" s="2679"/>
      <c r="N101" s="2683"/>
      <c r="O101" s="2684"/>
      <c r="P101" s="2684"/>
      <c r="Q101" s="2684"/>
      <c r="S101" s="2679"/>
    </row>
    <row r="102" spans="7:19">
      <c r="G102" s="2679"/>
      <c r="N102" s="2683"/>
      <c r="O102" s="2684"/>
      <c r="P102" s="2684"/>
      <c r="Q102" s="2684"/>
      <c r="S102" s="2679"/>
    </row>
    <row r="103" spans="7:19">
      <c r="G103" s="2679"/>
      <c r="N103" s="2683"/>
      <c r="O103" s="2684"/>
      <c r="P103" s="2684"/>
      <c r="Q103" s="2684"/>
      <c r="S103" s="2679"/>
    </row>
    <row r="104" spans="7:19">
      <c r="G104" s="2679"/>
      <c r="N104" s="2683"/>
      <c r="O104" s="2684"/>
      <c r="P104" s="2684"/>
      <c r="Q104" s="2684"/>
      <c r="S104" s="2679"/>
    </row>
    <row r="105" spans="7:19">
      <c r="G105" s="2679"/>
      <c r="N105" s="2683"/>
      <c r="O105" s="2684"/>
      <c r="P105" s="2684"/>
      <c r="Q105" s="2684"/>
      <c r="S105" s="267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56.25">
      <c r="A7" s="1789" t="s">
        <v>2748</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2938</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18.75">
      <c r="A21" s="1785" t="s">
        <v>2074</v>
      </c>
    </row>
    <row r="22" spans="1:1" ht="112.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2017北辰区不动产权第1012383号]、《天津市国有建设用地使用权出让合同》[电子监管号：1201012016B02066号]及附件、《建设工程规划许可证》[2017北辰住证0010、0014号]，土地终止日期为住宅2086年10月24日、商业2056年10月24日地下车库2066年10月24日。截至估价期日，出让国有建设用地使用权剩余土地使用年限为住宅68.4年、商业38.4年、地下车库48.4年。</v>
      </c>
    </row>
    <row r="23" spans="1:1" ht="37.5">
      <c r="A23" s="1785" t="str">
        <f>IF(项目基本情况!B16="出让","本次评估设定估价对象剩余土地使用年限为"&amp;项目基本情况!D20&amp;"。","")</f>
        <v>本次评估设定估价对象剩余土地使用年限为住宅68.4年、商业38.4年、地下车库48.4年。</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IF(项目基本情况!B9="市场价格","——",IF(项目基本情况!E9="——","",定义!C57))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E7" sqref="E7"/>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2639" t="s">
        <v>719</v>
      </c>
      <c r="C1" s="2640" t="s">
        <v>720</v>
      </c>
      <c r="D1" s="2641" t="s">
        <v>4249</v>
      </c>
      <c r="E1" s="2642"/>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20" t="s">
        <v>467</v>
      </c>
      <c r="B2" s="2638">
        <f>ROUND(B3*D3/10000,0)</f>
        <v>11461</v>
      </c>
      <c r="C2" s="2121"/>
      <c r="D2" s="2121"/>
      <c r="E2" s="2121"/>
      <c r="F2" s="2195"/>
      <c r="G2" s="2121"/>
      <c r="H2" s="2121"/>
      <c r="I2" s="2121"/>
      <c r="J2" s="2121"/>
      <c r="K2" s="2196"/>
      <c r="L2" s="2197"/>
      <c r="M2" s="2198"/>
      <c r="N2" s="2198"/>
      <c r="O2" s="2198"/>
      <c r="P2" s="1596"/>
      <c r="Q2" s="1596"/>
      <c r="R2" s="1596"/>
      <c r="S2" s="1596"/>
      <c r="T2" s="1596"/>
      <c r="U2" s="1596"/>
      <c r="V2" s="1596"/>
      <c r="W2" s="1596"/>
      <c r="X2" s="1596"/>
      <c r="Y2" s="1596"/>
      <c r="Z2" s="1596"/>
      <c r="AA2" s="1596"/>
      <c r="AB2" s="1596"/>
      <c r="AC2" s="1597"/>
    </row>
    <row r="3" spans="1:29" s="1357" customFormat="1" ht="28.5" customHeight="1" thickBot="1">
      <c r="A3" s="506" t="s">
        <v>519</v>
      </c>
      <c r="B3" s="848">
        <f>C49</f>
        <v>24897</v>
      </c>
      <c r="C3" s="849" t="s">
        <v>722</v>
      </c>
      <c r="D3" s="848">
        <f>SUMIF('数据-汇总表'!$C19:$C33,D1,'数据-汇总表'!$E19:$E33)</f>
        <v>4603.2199999999975</v>
      </c>
      <c r="E3" s="2121"/>
      <c r="F3" s="2195"/>
      <c r="G3" s="2121"/>
      <c r="H3" s="2121"/>
      <c r="I3" s="2121"/>
      <c r="J3" s="2121"/>
      <c r="K3" s="2196"/>
      <c r="L3" s="2197"/>
      <c r="M3" s="2198"/>
      <c r="N3" s="2198"/>
      <c r="O3" s="2198"/>
      <c r="P3" s="1596"/>
      <c r="Q3" s="1596"/>
      <c r="R3" s="1596"/>
      <c r="S3" s="1596"/>
      <c r="T3" s="1596"/>
      <c r="U3" s="1596"/>
      <c r="V3" s="1596"/>
      <c r="W3" s="1596"/>
      <c r="X3" s="1596"/>
      <c r="Y3" s="1596"/>
      <c r="Z3" s="1596"/>
      <c r="AA3" s="1596"/>
      <c r="AB3" s="1596"/>
      <c r="AC3" s="1598"/>
    </row>
    <row r="4" spans="1:29" ht="15">
      <c r="A4" s="509" t="s">
        <v>521</v>
      </c>
      <c r="B4" s="510"/>
      <c r="C4" s="3494" t="s">
        <v>522</v>
      </c>
      <c r="D4" s="3495"/>
      <c r="E4" s="3518" t="s">
        <v>523</v>
      </c>
      <c r="F4" s="3519"/>
      <c r="G4" s="3494" t="s">
        <v>524</v>
      </c>
      <c r="H4" s="3495"/>
      <c r="I4" s="3494" t="s">
        <v>525</v>
      </c>
      <c r="J4" s="3495"/>
      <c r="K4" s="850" t="s">
        <v>526</v>
      </c>
      <c r="L4" s="2127"/>
      <c r="M4" s="2128"/>
      <c r="N4" s="2128"/>
      <c r="O4" s="2128"/>
      <c r="P4" s="3496" t="s">
        <v>527</v>
      </c>
      <c r="Q4" s="3497"/>
      <c r="R4" s="3482" t="s">
        <v>523</v>
      </c>
      <c r="S4" s="3483"/>
      <c r="T4" s="3482" t="s">
        <v>524</v>
      </c>
      <c r="U4" s="3483"/>
      <c r="V4" s="3502" t="s">
        <v>525</v>
      </c>
      <c r="W4" s="3502"/>
      <c r="X4" s="1561"/>
      <c r="Y4" s="3482" t="s">
        <v>527</v>
      </c>
      <c r="Z4" s="3483"/>
      <c r="AA4" s="3477" t="s">
        <v>523</v>
      </c>
      <c r="AB4" s="3477" t="s">
        <v>524</v>
      </c>
      <c r="AC4" s="3477" t="s">
        <v>525</v>
      </c>
    </row>
    <row r="5" spans="1:29" ht="15">
      <c r="A5" s="512"/>
      <c r="B5" s="513"/>
      <c r="C5" s="3505" t="s">
        <v>2924</v>
      </c>
      <c r="D5" s="3506"/>
      <c r="E5" s="3564" t="s">
        <v>4262</v>
      </c>
      <c r="F5" s="3521"/>
      <c r="G5" s="3565" t="s">
        <v>4263</v>
      </c>
      <c r="H5" s="3506"/>
      <c r="I5" s="3565" t="s">
        <v>4264</v>
      </c>
      <c r="J5" s="3506"/>
      <c r="K5" s="851"/>
      <c r="L5" s="2127"/>
      <c r="M5" s="2128"/>
      <c r="N5" s="2128"/>
      <c r="O5" s="2128"/>
      <c r="P5" s="3498"/>
      <c r="Q5" s="3499"/>
      <c r="R5" s="3484"/>
      <c r="S5" s="3485"/>
      <c r="T5" s="3484"/>
      <c r="U5" s="3485"/>
      <c r="V5" s="3502"/>
      <c r="W5" s="3502"/>
      <c r="X5" s="1561"/>
      <c r="Y5" s="3484"/>
      <c r="Z5" s="3485"/>
      <c r="AA5" s="3478"/>
      <c r="AB5" s="3478"/>
      <c r="AC5" s="3478"/>
    </row>
    <row r="6" spans="1:29" ht="15.75" thickBot="1">
      <c r="A6" s="514"/>
      <c r="B6" s="515"/>
      <c r="C6" s="3503" t="s">
        <v>2928</v>
      </c>
      <c r="D6" s="3504"/>
      <c r="E6" s="3522" t="s">
        <v>2928</v>
      </c>
      <c r="F6" s="3523"/>
      <c r="G6" s="3503" t="s">
        <v>2928</v>
      </c>
      <c r="H6" s="3504"/>
      <c r="I6" s="3503" t="s">
        <v>2928</v>
      </c>
      <c r="J6" s="3504"/>
      <c r="K6" s="851" t="s">
        <v>528</v>
      </c>
      <c r="L6" s="2127"/>
      <c r="M6" s="2128"/>
      <c r="N6" s="2128"/>
      <c r="O6" s="2128"/>
      <c r="P6" s="3500"/>
      <c r="Q6" s="3501"/>
      <c r="R6" s="3484"/>
      <c r="S6" s="3485"/>
      <c r="T6" s="3486"/>
      <c r="U6" s="3487"/>
      <c r="V6" s="3502"/>
      <c r="W6" s="3502"/>
      <c r="X6" s="1561"/>
      <c r="Y6" s="3486"/>
      <c r="Z6" s="3487"/>
      <c r="AA6" s="3479"/>
      <c r="AB6" s="3479"/>
      <c r="AC6" s="3479"/>
    </row>
    <row r="7" spans="1:29" s="1215" customFormat="1" ht="15.75" thickBot="1">
      <c r="A7" s="2928"/>
      <c r="B7" s="2935" t="s">
        <v>529</v>
      </c>
      <c r="C7" s="516">
        <f>'数据-取费表'!B2</f>
        <v>43313</v>
      </c>
      <c r="D7" s="517">
        <v>100</v>
      </c>
      <c r="E7" s="518">
        <f>C7</f>
        <v>43313</v>
      </c>
      <c r="F7" s="519">
        <f>SUMIF(58:58,YEAR(E7)&amp;"-"&amp;MONTH(E7),59:59)</f>
        <v>100</v>
      </c>
      <c r="G7" s="520">
        <f>C7</f>
        <v>43313</v>
      </c>
      <c r="H7" s="517">
        <f>SUMIF(58:58,YEAR(G7)&amp;"-"&amp;MONTH(G7),59:59)</f>
        <v>100</v>
      </c>
      <c r="I7" s="520">
        <f>C7</f>
        <v>43313</v>
      </c>
      <c r="J7" s="517">
        <f>SUMIF(58:58,YEAR(I7)&amp;"-"&amp;MONTH(I7),59:59)</f>
        <v>100</v>
      </c>
      <c r="K7" s="852"/>
      <c r="L7" s="2129"/>
      <c r="M7" s="2130"/>
      <c r="N7" s="2130"/>
      <c r="O7" s="2130"/>
      <c r="P7" s="3480" t="s">
        <v>530</v>
      </c>
      <c r="Q7" s="3489"/>
      <c r="R7" s="1562" t="s">
        <v>13</v>
      </c>
      <c r="S7" s="1563">
        <f t="shared" ref="S7:S15" si="0">F7</f>
        <v>100</v>
      </c>
      <c r="T7" s="1562" t="s">
        <v>13</v>
      </c>
      <c r="U7" s="1563">
        <f t="shared" ref="U7:U15" si="1">H7</f>
        <v>100</v>
      </c>
      <c r="V7" s="1562" t="s">
        <v>13</v>
      </c>
      <c r="W7" s="1563">
        <f t="shared" ref="W7:W15" si="2">J7</f>
        <v>100</v>
      </c>
      <c r="X7" s="1564"/>
      <c r="Y7" s="3480" t="s">
        <v>530</v>
      </c>
      <c r="Z7" s="3481"/>
      <c r="AA7" s="1565">
        <f>D7/F7</f>
        <v>1</v>
      </c>
      <c r="AB7" s="1565">
        <f>D7/H7</f>
        <v>1</v>
      </c>
      <c r="AC7" s="1565">
        <f>D7/J7</f>
        <v>1</v>
      </c>
    </row>
    <row r="8" spans="1:29" s="1215" customFormat="1" ht="15.75" thickBot="1">
      <c r="A8" s="2929"/>
      <c r="B8" s="2936" t="s">
        <v>531</v>
      </c>
      <c r="C8" s="522" t="s">
        <v>576</v>
      </c>
      <c r="D8" s="517">
        <v>100</v>
      </c>
      <c r="E8" s="853" t="s">
        <v>4215</v>
      </c>
      <c r="F8" s="519">
        <f>SUMIF(61:61,E8,62:62)-SUMIF(61:61,C8,62:62)+100</f>
        <v>100</v>
      </c>
      <c r="G8" s="522" t="s">
        <v>4215</v>
      </c>
      <c r="H8" s="517">
        <f>SUMIF(61:61,G8,62:62)-SUMIF(61:61,C8,62:62)+100</f>
        <v>100</v>
      </c>
      <c r="I8" s="853" t="s">
        <v>4215</v>
      </c>
      <c r="J8" s="517">
        <f>SUMIF(61:61,I8,62:62)-SUMIF(61:61,C8,62:62)+100</f>
        <v>100</v>
      </c>
      <c r="K8" s="852"/>
      <c r="L8" s="2129"/>
      <c r="M8" s="2130"/>
      <c r="N8" s="2130"/>
      <c r="O8" s="2130"/>
      <c r="P8" s="3480" t="s">
        <v>533</v>
      </c>
      <c r="Q8" s="3481"/>
      <c r="R8" s="1562" t="s">
        <v>13</v>
      </c>
      <c r="S8" s="1563">
        <f t="shared" si="0"/>
        <v>100</v>
      </c>
      <c r="T8" s="1562" t="s">
        <v>13</v>
      </c>
      <c r="U8" s="1563">
        <f t="shared" si="1"/>
        <v>100</v>
      </c>
      <c r="V8" s="1562" t="s">
        <v>13</v>
      </c>
      <c r="W8" s="1563">
        <f t="shared" si="2"/>
        <v>100</v>
      </c>
      <c r="X8" s="1564"/>
      <c r="Y8" s="3480" t="s">
        <v>533</v>
      </c>
      <c r="Z8" s="3481"/>
      <c r="AA8" s="1565">
        <f t="shared" ref="AA8:AA46" si="3">D8/F8</f>
        <v>1</v>
      </c>
      <c r="AB8" s="1565">
        <f t="shared" ref="AB8:AB46" si="4">D8/H8</f>
        <v>1</v>
      </c>
      <c r="AC8" s="1565">
        <f t="shared" ref="AC8:AC46" si="5">D8/J8</f>
        <v>1</v>
      </c>
    </row>
    <row r="9" spans="1:29" s="1215" customFormat="1" ht="15">
      <c r="A9" s="2930"/>
      <c r="B9" s="2937" t="s">
        <v>2757</v>
      </c>
      <c r="C9" s="3236" t="s">
        <v>4222</v>
      </c>
      <c r="D9" s="251">
        <v>100</v>
      </c>
      <c r="E9" s="855" t="s">
        <v>922</v>
      </c>
      <c r="F9" s="856">
        <f>SUMIF(63:63,E9,64:64)-SUMIF(63:63,C9,64:64)+100</f>
        <v>100</v>
      </c>
      <c r="G9" s="857" t="s">
        <v>922</v>
      </c>
      <c r="H9" s="251">
        <f>SUMIF(63:63,G9,64:64)-SUMIF(63:63,C9,64:64)+100</f>
        <v>100</v>
      </c>
      <c r="I9" s="857" t="s">
        <v>922</v>
      </c>
      <c r="J9" s="251">
        <f>SUMIF(63:63,I9,64:64)-SUMIF(63:63,C9,64:64)+100</f>
        <v>100</v>
      </c>
      <c r="K9" s="852"/>
      <c r="L9" s="2129"/>
      <c r="M9" s="2130"/>
      <c r="N9" s="2130"/>
      <c r="O9" s="2131"/>
      <c r="P9" s="3488" t="s">
        <v>535</v>
      </c>
      <c r="Q9" s="1146" t="str">
        <f t="shared" ref="Q9:Q15" si="6">B9</f>
        <v>用途</v>
      </c>
      <c r="R9" s="1562" t="s">
        <v>8</v>
      </c>
      <c r="S9" s="1563">
        <f t="shared" si="0"/>
        <v>100</v>
      </c>
      <c r="T9" s="1562" t="s">
        <v>8</v>
      </c>
      <c r="U9" s="1563">
        <f t="shared" si="1"/>
        <v>100</v>
      </c>
      <c r="V9" s="1562" t="s">
        <v>8</v>
      </c>
      <c r="W9" s="1563">
        <f t="shared" si="2"/>
        <v>100</v>
      </c>
      <c r="X9" s="1564"/>
      <c r="Y9" s="3445" t="s">
        <v>536</v>
      </c>
      <c r="Z9" s="1145" t="str">
        <f t="shared" ref="Z9:Z15" si="7">Q9</f>
        <v>用途</v>
      </c>
      <c r="AA9" s="1565">
        <f t="shared" si="3"/>
        <v>1</v>
      </c>
      <c r="AB9" s="1565">
        <f t="shared" si="4"/>
        <v>1</v>
      </c>
      <c r="AC9" s="1565">
        <f t="shared" si="5"/>
        <v>1</v>
      </c>
    </row>
    <row r="10" spans="1:29" s="1333" customFormat="1" ht="27">
      <c r="A10" s="2931"/>
      <c r="B10" s="2936" t="s">
        <v>2758</v>
      </c>
      <c r="C10" s="858" t="s">
        <v>4261</v>
      </c>
      <c r="D10" s="252">
        <v>100</v>
      </c>
      <c r="E10" s="859" t="s">
        <v>4261</v>
      </c>
      <c r="F10" s="860">
        <f>SUMIF(65:65,E10,66:66)-SUMIF(65:65,C10,66:66)+100</f>
        <v>100</v>
      </c>
      <c r="G10" s="858" t="s">
        <v>4261</v>
      </c>
      <c r="H10" s="252">
        <f>SUMIF(65:65,G10,66:66)-SUMIF(65:65,C10,66:66)+100</f>
        <v>100</v>
      </c>
      <c r="I10" s="858" t="s">
        <v>4261</v>
      </c>
      <c r="J10" s="252">
        <f>SUMIF(65:65,I10,66:66)-SUMIF(65:65,C10,66:66)+100</f>
        <v>100</v>
      </c>
      <c r="K10" s="861">
        <v>2</v>
      </c>
      <c r="L10" s="2132"/>
      <c r="M10" s="2172"/>
      <c r="N10" s="2172"/>
      <c r="O10" s="2133"/>
      <c r="P10" s="3488"/>
      <c r="Q10" s="1146" t="str">
        <f t="shared" si="6"/>
        <v>土地使用年限（年）</v>
      </c>
      <c r="R10" s="1562" t="s">
        <v>8</v>
      </c>
      <c r="S10" s="1563">
        <f t="shared" si="0"/>
        <v>100</v>
      </c>
      <c r="T10" s="1562" t="s">
        <v>8</v>
      </c>
      <c r="U10" s="1563">
        <f t="shared" si="1"/>
        <v>100</v>
      </c>
      <c r="V10" s="1562" t="s">
        <v>8</v>
      </c>
      <c r="W10" s="1563">
        <f t="shared" si="2"/>
        <v>100</v>
      </c>
      <c r="X10" s="1564"/>
      <c r="Y10" s="3445"/>
      <c r="Z10" s="1145" t="str">
        <f t="shared" si="7"/>
        <v>土地使用年限（年）</v>
      </c>
      <c r="AA10" s="1565">
        <f t="shared" si="3"/>
        <v>1</v>
      </c>
      <c r="AB10" s="1565">
        <f t="shared" si="4"/>
        <v>1</v>
      </c>
      <c r="AC10" s="1565">
        <f t="shared" si="5"/>
        <v>1</v>
      </c>
    </row>
    <row r="11" spans="1:29" ht="15">
      <c r="A11" s="2932"/>
      <c r="B11" s="2936" t="s">
        <v>2759</v>
      </c>
      <c r="C11" s="530">
        <f>'比较法-住宅、综合'!C13</f>
        <v>1.91</v>
      </c>
      <c r="D11" s="252">
        <v>100</v>
      </c>
      <c r="E11" s="531">
        <v>1.7</v>
      </c>
      <c r="F11" s="860">
        <f>LOOKUP(E11,68:68,69:69)-LOOKUP(C11,68:68,69:69)+100</f>
        <v>100</v>
      </c>
      <c r="G11" s="530">
        <v>2</v>
      </c>
      <c r="H11" s="252">
        <f>LOOKUP(G11,68:68,69:69)-LOOKUP(C11,68:68,69:69)+100</f>
        <v>98</v>
      </c>
      <c r="I11" s="530">
        <v>1.8</v>
      </c>
      <c r="J11" s="252">
        <f>LOOKUP(I11,68:68,69:69)-LOOKUP(C11,68:68,69:69)+100</f>
        <v>100</v>
      </c>
      <c r="K11" s="861">
        <v>2</v>
      </c>
      <c r="L11" s="2134"/>
      <c r="M11" s="2128"/>
      <c r="N11" s="2128"/>
      <c r="O11" s="2135"/>
      <c r="P11" s="3488"/>
      <c r="Q11" s="1146" t="str">
        <f t="shared" si="6"/>
        <v>容积率</v>
      </c>
      <c r="R11" s="1562" t="s">
        <v>11</v>
      </c>
      <c r="S11" s="1563">
        <f t="shared" si="0"/>
        <v>100</v>
      </c>
      <c r="T11" s="1562" t="s">
        <v>11</v>
      </c>
      <c r="U11" s="1563">
        <f t="shared" si="1"/>
        <v>98</v>
      </c>
      <c r="V11" s="1562" t="s">
        <v>11</v>
      </c>
      <c r="W11" s="1563">
        <f t="shared" si="2"/>
        <v>100</v>
      </c>
      <c r="X11" s="1564"/>
      <c r="Y11" s="3445"/>
      <c r="Z11" s="1145" t="str">
        <f t="shared" si="7"/>
        <v>容积率</v>
      </c>
      <c r="AA11" s="1565">
        <f t="shared" si="3"/>
        <v>1</v>
      </c>
      <c r="AB11" s="1565">
        <f t="shared" si="4"/>
        <v>1.0204081632653061</v>
      </c>
      <c r="AC11" s="1565">
        <f t="shared" si="5"/>
        <v>1</v>
      </c>
    </row>
    <row r="12" spans="1:29" s="1215" customFormat="1" ht="15">
      <c r="A12" s="2933"/>
      <c r="B12" s="2939">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488"/>
      <c r="Q12" s="1146">
        <f t="shared" si="6"/>
        <v>111</v>
      </c>
      <c r="R12" s="1562" t="s">
        <v>11</v>
      </c>
      <c r="S12" s="1563">
        <f t="shared" si="0"/>
        <v>100</v>
      </c>
      <c r="T12" s="1562" t="s">
        <v>11</v>
      </c>
      <c r="U12" s="1563">
        <f t="shared" si="1"/>
        <v>100</v>
      </c>
      <c r="V12" s="1562" t="s">
        <v>11</v>
      </c>
      <c r="W12" s="1563">
        <f t="shared" si="2"/>
        <v>100</v>
      </c>
      <c r="X12" s="1564"/>
      <c r="Y12" s="3445"/>
      <c r="Z12" s="1145">
        <f t="shared" si="7"/>
        <v>111</v>
      </c>
      <c r="AA12" s="1565">
        <f>D12/F12</f>
        <v>1</v>
      </c>
      <c r="AB12" s="1565">
        <f>D12/H12</f>
        <v>1</v>
      </c>
      <c r="AC12" s="1565">
        <f>D12/J12</f>
        <v>1</v>
      </c>
    </row>
    <row r="13" spans="1:29" ht="15">
      <c r="A13" s="2933"/>
      <c r="B13" s="2939">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488"/>
      <c r="Q13" s="1146">
        <f t="shared" si="6"/>
        <v>111</v>
      </c>
      <c r="R13" s="1562" t="s">
        <v>11</v>
      </c>
      <c r="S13" s="1563">
        <f t="shared" si="0"/>
        <v>100</v>
      </c>
      <c r="T13" s="1562" t="s">
        <v>11</v>
      </c>
      <c r="U13" s="1563">
        <f t="shared" si="1"/>
        <v>100</v>
      </c>
      <c r="V13" s="1562" t="s">
        <v>11</v>
      </c>
      <c r="W13" s="1563">
        <f t="shared" si="2"/>
        <v>100</v>
      </c>
      <c r="X13" s="1564"/>
      <c r="Y13" s="3445"/>
      <c r="Z13" s="1145">
        <f t="shared" si="7"/>
        <v>111</v>
      </c>
      <c r="AA13" s="1565">
        <f t="shared" si="3"/>
        <v>1</v>
      </c>
      <c r="AB13" s="1565">
        <f t="shared" si="4"/>
        <v>1</v>
      </c>
      <c r="AC13" s="1565">
        <f t="shared" si="5"/>
        <v>1</v>
      </c>
    </row>
    <row r="14" spans="1:29" ht="15.75" thickBot="1">
      <c r="A14" s="2934"/>
      <c r="B14" s="2940">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488"/>
      <c r="Q14" s="1146">
        <f t="shared" si="6"/>
        <v>111</v>
      </c>
      <c r="R14" s="1562" t="s">
        <v>11</v>
      </c>
      <c r="S14" s="1563">
        <f t="shared" si="0"/>
        <v>100</v>
      </c>
      <c r="T14" s="1562" t="s">
        <v>11</v>
      </c>
      <c r="U14" s="1563">
        <f t="shared" si="1"/>
        <v>100</v>
      </c>
      <c r="V14" s="1562" t="s">
        <v>11</v>
      </c>
      <c r="W14" s="1563">
        <f t="shared" si="2"/>
        <v>100</v>
      </c>
      <c r="X14" s="1564"/>
      <c r="Y14" s="3445"/>
      <c r="Z14" s="1145">
        <f t="shared" si="7"/>
        <v>111</v>
      </c>
      <c r="AA14" s="1565">
        <f t="shared" si="3"/>
        <v>1</v>
      </c>
      <c r="AB14" s="1565">
        <f t="shared" si="4"/>
        <v>1</v>
      </c>
      <c r="AC14" s="1565">
        <f t="shared" si="5"/>
        <v>1</v>
      </c>
    </row>
    <row r="15" spans="1:29" ht="57">
      <c r="A15" s="2926" t="s">
        <v>2755</v>
      </c>
      <c r="B15" s="165" t="s">
        <v>295</v>
      </c>
      <c r="C15" s="864" t="str">
        <f>估价对象房地状况!C3</f>
        <v>都旺新城、朝阳里等，分布密度一般，入住率一般，一般</v>
      </c>
      <c r="D15" s="546">
        <v>100</v>
      </c>
      <c r="E15" s="547"/>
      <c r="F15" s="548">
        <f>SUMIF(76:76,E16,77:77)-SUMIF(76:76,C16,77:77)+100</f>
        <v>97</v>
      </c>
      <c r="G15" s="549"/>
      <c r="H15" s="546">
        <f>SUMIF(76:76,G16,77:77)-SUMIF(76:76,C16,77:77)+100</f>
        <v>97</v>
      </c>
      <c r="I15" s="3242" t="s">
        <v>4269</v>
      </c>
      <c r="J15" s="546">
        <f>SUMIF(76:76,I16,77:77)-SUMIF(76:76,C16,77:77)+100</f>
        <v>100</v>
      </c>
      <c r="K15" s="865">
        <v>3</v>
      </c>
      <c r="L15" s="2136"/>
      <c r="M15" s="2128"/>
      <c r="N15" s="2128"/>
      <c r="O15" s="2135"/>
      <c r="P15" s="3490" t="s">
        <v>540</v>
      </c>
      <c r="Q15" s="1566" t="str">
        <f t="shared" si="6"/>
        <v>居住社区成熟度</v>
      </c>
      <c r="R15" s="1567" t="s">
        <v>11</v>
      </c>
      <c r="S15" s="1568">
        <f t="shared" si="0"/>
        <v>97</v>
      </c>
      <c r="T15" s="1567" t="s">
        <v>11</v>
      </c>
      <c r="U15" s="1568">
        <f t="shared" si="1"/>
        <v>97</v>
      </c>
      <c r="V15" s="1567" t="s">
        <v>11</v>
      </c>
      <c r="W15" s="1568">
        <f t="shared" si="2"/>
        <v>100</v>
      </c>
      <c r="X15" s="1561"/>
      <c r="Y15" s="3490" t="s">
        <v>540</v>
      </c>
      <c r="Z15" s="1569" t="str">
        <f t="shared" si="7"/>
        <v>居住社区成熟度</v>
      </c>
      <c r="AA15" s="1570">
        <f t="shared" si="3"/>
        <v>1.0309278350515463</v>
      </c>
      <c r="AB15" s="1570">
        <f t="shared" si="4"/>
        <v>1.0309278350515463</v>
      </c>
      <c r="AC15" s="1570">
        <f t="shared" si="5"/>
        <v>1</v>
      </c>
    </row>
    <row r="16" spans="1:29" ht="15">
      <c r="A16" s="529"/>
      <c r="B16" s="866"/>
      <c r="C16" s="573" t="s">
        <v>4097</v>
      </c>
      <c r="D16" s="552"/>
      <c r="E16" s="553" t="s">
        <v>4099</v>
      </c>
      <c r="F16" s="554"/>
      <c r="G16" s="555" t="s">
        <v>4099</v>
      </c>
      <c r="H16" s="556"/>
      <c r="I16" s="553" t="s">
        <v>4097</v>
      </c>
      <c r="J16" s="552"/>
      <c r="K16" s="867"/>
      <c r="L16" s="2136"/>
      <c r="M16" s="2128"/>
      <c r="N16" s="2128"/>
      <c r="O16" s="2135"/>
      <c r="P16" s="3491"/>
      <c r="Q16" s="1566"/>
      <c r="R16" s="1567"/>
      <c r="S16" s="1568"/>
      <c r="T16" s="1567"/>
      <c r="U16" s="1568"/>
      <c r="V16" s="1567"/>
      <c r="W16" s="1568"/>
      <c r="X16" s="1561"/>
      <c r="Y16" s="3491"/>
      <c r="Z16" s="1569"/>
      <c r="AA16" s="1570">
        <v>1</v>
      </c>
      <c r="AB16" s="1570">
        <v>1</v>
      </c>
      <c r="AC16" s="1570">
        <v>1</v>
      </c>
    </row>
    <row r="17" spans="1:29" ht="57">
      <c r="A17" s="529"/>
      <c r="B17" s="868" t="s">
        <v>296</v>
      </c>
      <c r="C17" s="869" t="str">
        <f>估价对象房地状况!C6</f>
        <v>750、804、909，路网密度一般，停车便捷程度一般，一般</v>
      </c>
      <c r="D17" s="556">
        <v>100</v>
      </c>
      <c r="E17" s="559" t="s">
        <v>4266</v>
      </c>
      <c r="F17" s="560">
        <f>SUMIF(78:78,E18,79:79)-SUMIF(78:78,C18,79:79)+100</f>
        <v>100</v>
      </c>
      <c r="G17" s="559" t="s">
        <v>4270</v>
      </c>
      <c r="H17" s="562">
        <f>SUMIF(78:78,G18,79:79)-SUMIF(78:78,C18,79:79)+100</f>
        <v>100</v>
      </c>
      <c r="I17" s="559" t="s">
        <v>4271</v>
      </c>
      <c r="J17" s="562">
        <f>SUMIF(78:78,I18,79:79)-SUMIF(78:78,C18,79:79)+100</f>
        <v>100</v>
      </c>
      <c r="K17" s="865">
        <v>2</v>
      </c>
      <c r="L17" s="2136"/>
      <c r="M17" s="2128"/>
      <c r="N17" s="2128"/>
      <c r="O17" s="2135"/>
      <c r="P17" s="3491"/>
      <c r="Q17" s="1566" t="str">
        <f>B17</f>
        <v>交通便捷度</v>
      </c>
      <c r="R17" s="1567" t="s">
        <v>11</v>
      </c>
      <c r="S17" s="1568">
        <f>F17</f>
        <v>100</v>
      </c>
      <c r="T17" s="1567" t="s">
        <v>11</v>
      </c>
      <c r="U17" s="1568">
        <f>H17</f>
        <v>100</v>
      </c>
      <c r="V17" s="1567" t="s">
        <v>11</v>
      </c>
      <c r="W17" s="1568">
        <f>J17</f>
        <v>100</v>
      </c>
      <c r="X17" s="1561"/>
      <c r="Y17" s="3491"/>
      <c r="Z17" s="1569" t="str">
        <f>Q17</f>
        <v>交通便捷度</v>
      </c>
      <c r="AA17" s="1570">
        <f t="shared" si="3"/>
        <v>1</v>
      </c>
      <c r="AB17" s="1570">
        <f t="shared" si="4"/>
        <v>1</v>
      </c>
      <c r="AC17" s="1570">
        <f t="shared" si="5"/>
        <v>1</v>
      </c>
    </row>
    <row r="18" spans="1:29" ht="15">
      <c r="A18" s="529"/>
      <c r="B18" s="592"/>
      <c r="C18" s="870" t="s">
        <v>4097</v>
      </c>
      <c r="D18" s="556"/>
      <c r="E18" s="565" t="s">
        <v>4097</v>
      </c>
      <c r="F18" s="560"/>
      <c r="G18" s="566" t="s">
        <v>4097</v>
      </c>
      <c r="H18" s="552"/>
      <c r="I18" s="565" t="s">
        <v>4097</v>
      </c>
      <c r="J18" s="552"/>
      <c r="K18" s="867"/>
      <c r="L18" s="2136"/>
      <c r="M18" s="2128"/>
      <c r="N18" s="2128"/>
      <c r="O18" s="2135"/>
      <c r="P18" s="3491"/>
      <c r="Q18" s="1566"/>
      <c r="R18" s="1567"/>
      <c r="S18" s="1568"/>
      <c r="T18" s="1567"/>
      <c r="U18" s="1568"/>
      <c r="V18" s="1567"/>
      <c r="W18" s="1568"/>
      <c r="X18" s="1561"/>
      <c r="Y18" s="3491"/>
      <c r="Z18" s="1569"/>
      <c r="AA18" s="1570">
        <v>1</v>
      </c>
      <c r="AB18" s="1570">
        <v>1</v>
      </c>
      <c r="AC18" s="1570">
        <v>1</v>
      </c>
    </row>
    <row r="19" spans="1:29" ht="27">
      <c r="A19" s="529"/>
      <c r="B19" s="2616" t="s">
        <v>2547</v>
      </c>
      <c r="C19" s="869" t="str">
        <f>估价对象房地状况!C7</f>
        <v>较好</v>
      </c>
      <c r="D19" s="562">
        <v>100</v>
      </c>
      <c r="E19" s="3238" t="s">
        <v>4267</v>
      </c>
      <c r="F19" s="568">
        <f>SUMIF(80:80,E20,81:81)-SUMIF(80:80,C20,81:81)+100</f>
        <v>97</v>
      </c>
      <c r="G19" s="3238" t="s">
        <v>4267</v>
      </c>
      <c r="H19" s="556">
        <f>SUMIF(80:80,G20,81:81)-SUMIF(80:80,C20,81:81)+100</f>
        <v>97</v>
      </c>
      <c r="I19" s="567"/>
      <c r="J19" s="556">
        <f>SUMIF(80:80,I20,81:81)-SUMIF(80:80,C20,81:81)+100</f>
        <v>100</v>
      </c>
      <c r="K19" s="865">
        <v>3</v>
      </c>
      <c r="L19" s="2136"/>
      <c r="M19" s="2128"/>
      <c r="N19" s="2128"/>
      <c r="O19" s="2135"/>
      <c r="P19" s="3491"/>
      <c r="Q19" s="1566" t="str">
        <f>B19</f>
        <v>公共配套设施</v>
      </c>
      <c r="R19" s="1567" t="s">
        <v>11</v>
      </c>
      <c r="S19" s="1568">
        <f>F19</f>
        <v>97</v>
      </c>
      <c r="T19" s="1567" t="s">
        <v>11</v>
      </c>
      <c r="U19" s="1568">
        <f>H19</f>
        <v>97</v>
      </c>
      <c r="V19" s="1567" t="s">
        <v>11</v>
      </c>
      <c r="W19" s="1568">
        <f>J19</f>
        <v>100</v>
      </c>
      <c r="X19" s="1561"/>
      <c r="Y19" s="3491"/>
      <c r="Z19" s="1569" t="str">
        <f>Q19</f>
        <v>公共配套设施</v>
      </c>
      <c r="AA19" s="1570">
        <f t="shared" si="3"/>
        <v>1.0309278350515463</v>
      </c>
      <c r="AB19" s="1570">
        <f t="shared" si="4"/>
        <v>1.0309278350515463</v>
      </c>
      <c r="AC19" s="1570">
        <f t="shared" si="5"/>
        <v>1</v>
      </c>
    </row>
    <row r="20" spans="1:29" ht="15">
      <c r="A20" s="529"/>
      <c r="B20" s="592"/>
      <c r="C20" s="573" t="s">
        <v>4095</v>
      </c>
      <c r="D20" s="552"/>
      <c r="E20" s="553" t="s">
        <v>4097</v>
      </c>
      <c r="F20" s="554"/>
      <c r="G20" s="555" t="s">
        <v>4097</v>
      </c>
      <c r="H20" s="552"/>
      <c r="I20" s="553" t="s">
        <v>4095</v>
      </c>
      <c r="J20" s="552"/>
      <c r="K20" s="867"/>
      <c r="L20" s="2136"/>
      <c r="M20" s="2128"/>
      <c r="N20" s="2128"/>
      <c r="O20" s="2135"/>
      <c r="P20" s="3491"/>
      <c r="Q20" s="1566"/>
      <c r="R20" s="1567"/>
      <c r="S20" s="1568"/>
      <c r="T20" s="1567"/>
      <c r="U20" s="1568"/>
      <c r="V20" s="1567"/>
      <c r="W20" s="1568"/>
      <c r="X20" s="1561"/>
      <c r="Y20" s="3491"/>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v>2</v>
      </c>
      <c r="L21" s="2136"/>
      <c r="M21" s="2128"/>
      <c r="N21" s="2128"/>
      <c r="O21" s="2135"/>
      <c r="P21" s="3491"/>
      <c r="Q21" s="2595" t="str">
        <f>B21</f>
        <v>基础设施水平</v>
      </c>
      <c r="R21" s="1567" t="s">
        <v>11</v>
      </c>
      <c r="S21" s="1568">
        <f>F21</f>
        <v>100</v>
      </c>
      <c r="T21" s="1567" t="s">
        <v>11</v>
      </c>
      <c r="U21" s="1568">
        <f>H21</f>
        <v>100</v>
      </c>
      <c r="V21" s="1567" t="s">
        <v>11</v>
      </c>
      <c r="W21" s="1568">
        <f>J21</f>
        <v>100</v>
      </c>
      <c r="X21" s="2597"/>
      <c r="Y21" s="3491"/>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5"/>
      <c r="L22" s="2136"/>
      <c r="M22" s="2128"/>
      <c r="N22" s="2128"/>
      <c r="O22" s="2135"/>
      <c r="P22" s="3491"/>
      <c r="Q22" s="2595"/>
      <c r="R22" s="1567"/>
      <c r="S22" s="1568"/>
      <c r="T22" s="1567"/>
      <c r="U22" s="1568"/>
      <c r="V22" s="1567"/>
      <c r="W22" s="1568"/>
      <c r="X22" s="2597"/>
      <c r="Y22" s="3491"/>
      <c r="Z22" s="2596"/>
      <c r="AA22" s="1570">
        <v>1</v>
      </c>
      <c r="AB22" s="1570">
        <v>1</v>
      </c>
      <c r="AC22" s="1570">
        <v>1</v>
      </c>
    </row>
    <row r="23" spans="1:29" ht="54">
      <c r="A23" s="529"/>
      <c r="B23" s="868" t="s">
        <v>297</v>
      </c>
      <c r="C23" s="869" t="str">
        <f>估价对象房地状况!C9</f>
        <v>有公园，无人文，一般</v>
      </c>
      <c r="D23" s="556">
        <v>100</v>
      </c>
      <c r="E23" s="3239" t="s">
        <v>4268</v>
      </c>
      <c r="F23" s="560">
        <f>SUMIF(84:84,E24,85:85)-SUMIF(84:84,C24,85:85)+100</f>
        <v>95</v>
      </c>
      <c r="G23" s="3239" t="s">
        <v>4268</v>
      </c>
      <c r="H23" s="556">
        <f>SUMIF(84:84,G24,85:85)-SUMIF(84:84,C24,85:85)+100</f>
        <v>95</v>
      </c>
      <c r="I23" s="3239" t="s">
        <v>4272</v>
      </c>
      <c r="J23" s="556">
        <f>SUMIF(84:84,I24,85:85)-SUMIF(84:84,C24,85:85)+100</f>
        <v>95</v>
      </c>
      <c r="K23" s="865">
        <v>5</v>
      </c>
      <c r="L23" s="2136"/>
      <c r="M23" s="2128"/>
      <c r="N23" s="2128"/>
      <c r="O23" s="2135"/>
      <c r="P23" s="3491"/>
      <c r="Q23" s="1566" t="str">
        <f>B23</f>
        <v>自然及人文环境</v>
      </c>
      <c r="R23" s="1567" t="s">
        <v>11</v>
      </c>
      <c r="S23" s="1568">
        <f>F23</f>
        <v>95</v>
      </c>
      <c r="T23" s="1567" t="s">
        <v>11</v>
      </c>
      <c r="U23" s="1568">
        <f>H23</f>
        <v>95</v>
      </c>
      <c r="V23" s="1567" t="s">
        <v>11</v>
      </c>
      <c r="W23" s="1568">
        <f>J23</f>
        <v>95</v>
      </c>
      <c r="X23" s="1561"/>
      <c r="Y23" s="3491"/>
      <c r="Z23" s="1569" t="str">
        <f>Q23</f>
        <v>自然及人文环境</v>
      </c>
      <c r="AA23" s="1570">
        <f t="shared" si="3"/>
        <v>1.0526315789473684</v>
      </c>
      <c r="AB23" s="1570">
        <f t="shared" si="4"/>
        <v>1.0526315789473684</v>
      </c>
      <c r="AC23" s="1570">
        <f t="shared" si="5"/>
        <v>1.0526315789473684</v>
      </c>
    </row>
    <row r="24" spans="1:29" ht="15">
      <c r="A24" s="529"/>
      <c r="B24" s="592"/>
      <c r="C24" s="573" t="s">
        <v>4097</v>
      </c>
      <c r="D24" s="552"/>
      <c r="E24" s="553" t="s">
        <v>4099</v>
      </c>
      <c r="F24" s="554"/>
      <c r="G24" s="555" t="s">
        <v>4099</v>
      </c>
      <c r="H24" s="552"/>
      <c r="I24" s="553" t="s">
        <v>4099</v>
      </c>
      <c r="J24" s="552"/>
      <c r="K24" s="867"/>
      <c r="L24" s="2136"/>
      <c r="M24" s="2128"/>
      <c r="N24" s="2128"/>
      <c r="O24" s="2135"/>
      <c r="P24" s="3491"/>
      <c r="Q24" s="1566"/>
      <c r="R24" s="1567"/>
      <c r="S24" s="1568"/>
      <c r="T24" s="1567"/>
      <c r="U24" s="1568"/>
      <c r="V24" s="1567"/>
      <c r="W24" s="1568"/>
      <c r="X24" s="1561"/>
      <c r="Y24" s="3491"/>
      <c r="Z24" s="1569"/>
      <c r="AA24" s="1570">
        <v>1</v>
      </c>
      <c r="AB24" s="1570">
        <v>1</v>
      </c>
      <c r="AC24" s="1570">
        <v>1</v>
      </c>
    </row>
    <row r="25" spans="1:29" ht="15">
      <c r="A25" s="529"/>
      <c r="B25" s="1889" t="s">
        <v>2256</v>
      </c>
      <c r="C25" s="571"/>
      <c r="D25" s="537">
        <v>100</v>
      </c>
      <c r="E25" s="871"/>
      <c r="F25" s="572">
        <f>SUMIF(86:86,E25,87:87)-SUMIF(86:86,C25,87:87)+100</f>
        <v>100</v>
      </c>
      <c r="G25" s="596"/>
      <c r="H25" s="537">
        <f>SUMIF(86:86,G25,87:87)-SUMIF(86:86,C25,87:87)+100</f>
        <v>100</v>
      </c>
      <c r="I25" s="871"/>
      <c r="J25" s="537">
        <f>SUMIF(86:86,I25,87:87)-SUMIF(86:86,C25,87:87)+100</f>
        <v>100</v>
      </c>
      <c r="K25" s="861">
        <v>0</v>
      </c>
      <c r="L25" s="2136"/>
      <c r="M25" s="2128"/>
      <c r="N25" s="2128"/>
      <c r="O25" s="2135"/>
      <c r="P25" s="3491"/>
      <c r="Q25" s="1566" t="str">
        <f t="shared" ref="Q25:Q46" si="11">B25</f>
        <v>楼层-1</v>
      </c>
      <c r="R25" s="1567" t="s">
        <v>11</v>
      </c>
      <c r="S25" s="1568">
        <f>F25</f>
        <v>100</v>
      </c>
      <c r="T25" s="1567" t="s">
        <v>11</v>
      </c>
      <c r="U25" s="1568">
        <f>H25</f>
        <v>100</v>
      </c>
      <c r="V25" s="1567" t="s">
        <v>11</v>
      </c>
      <c r="W25" s="1568">
        <f>J25</f>
        <v>100</v>
      </c>
      <c r="X25" s="1561"/>
      <c r="Y25" s="3491"/>
      <c r="Z25" s="1569" t="str">
        <f>Q25</f>
        <v>楼层-1</v>
      </c>
      <c r="AA25" s="1570">
        <f t="shared" si="3"/>
        <v>1</v>
      </c>
      <c r="AB25" s="1570">
        <f t="shared" si="4"/>
        <v>1</v>
      </c>
      <c r="AC25" s="1570">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v>0</v>
      </c>
      <c r="L26" s="2136"/>
      <c r="M26" s="2128"/>
      <c r="N26" s="2128"/>
      <c r="O26" s="2135"/>
      <c r="P26" s="3491"/>
      <c r="Q26" s="1566" t="str">
        <f t="shared" si="11"/>
        <v>朝向</v>
      </c>
      <c r="R26" s="1567" t="s">
        <v>11</v>
      </c>
      <c r="S26" s="1568">
        <f>F26</f>
        <v>100</v>
      </c>
      <c r="T26" s="1567" t="s">
        <v>11</v>
      </c>
      <c r="U26" s="1568">
        <f>H26</f>
        <v>100</v>
      </c>
      <c r="V26" s="1567" t="s">
        <v>11</v>
      </c>
      <c r="W26" s="1568">
        <f>J26</f>
        <v>100</v>
      </c>
      <c r="X26" s="1561"/>
      <c r="Y26" s="3491"/>
      <c r="Z26" s="1569" t="str">
        <f>Q26</f>
        <v>朝向</v>
      </c>
      <c r="AA26" s="1570">
        <f t="shared" si="3"/>
        <v>1</v>
      </c>
      <c r="AB26" s="1570">
        <f t="shared" si="4"/>
        <v>1</v>
      </c>
      <c r="AC26" s="1570">
        <f t="shared" si="5"/>
        <v>1</v>
      </c>
    </row>
    <row r="27" spans="1:29" s="1215" customFormat="1" ht="15">
      <c r="A27" s="533"/>
      <c r="B27" s="534" t="s">
        <v>724</v>
      </c>
      <c r="C27" s="3237" t="s">
        <v>4228</v>
      </c>
      <c r="D27" s="872">
        <v>100</v>
      </c>
      <c r="E27" s="3240" t="s">
        <v>4229</v>
      </c>
      <c r="F27" s="873">
        <f>SUMIF(90:90,E27,91:91)-SUMIF(90:90,C27,91:91)+100</f>
        <v>100</v>
      </c>
      <c r="G27" s="3241" t="s">
        <v>4229</v>
      </c>
      <c r="H27" s="872">
        <f>SUMIF(90:90,G27,91:91)-SUMIF(90:90,C27,91:91)+100</f>
        <v>100</v>
      </c>
      <c r="I27" s="3240" t="s">
        <v>4227</v>
      </c>
      <c r="J27" s="872">
        <f>SUMIF(90:90,I27,91:91)-SUMIF(90:90,C27,91:91)+100</f>
        <v>100</v>
      </c>
      <c r="K27" s="862"/>
      <c r="L27" s="2129"/>
      <c r="M27" s="2130"/>
      <c r="N27" s="2130"/>
      <c r="O27" s="2131"/>
      <c r="P27" s="3491"/>
      <c r="Q27" s="1146" t="str">
        <f t="shared" si="11"/>
        <v>道路级别</v>
      </c>
      <c r="R27" s="1562" t="s">
        <v>11</v>
      </c>
      <c r="S27" s="1563">
        <f>F27</f>
        <v>100</v>
      </c>
      <c r="T27" s="1562" t="s">
        <v>11</v>
      </c>
      <c r="U27" s="1563">
        <f>H27</f>
        <v>100</v>
      </c>
      <c r="V27" s="1562" t="s">
        <v>11</v>
      </c>
      <c r="W27" s="1563">
        <f>J27</f>
        <v>100</v>
      </c>
      <c r="X27" s="1564"/>
      <c r="Y27" s="3491"/>
      <c r="Z27" s="1145" t="str">
        <f>Q27</f>
        <v>道路级别</v>
      </c>
      <c r="AA27" s="1570">
        <f>D27/F27</f>
        <v>1</v>
      </c>
      <c r="AB27" s="1570">
        <f>D27/H27</f>
        <v>1</v>
      </c>
      <c r="AC27" s="157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491"/>
      <c r="Q28" s="1566">
        <f t="shared" si="11"/>
        <v>111</v>
      </c>
      <c r="R28" s="1567" t="s">
        <v>11</v>
      </c>
      <c r="S28" s="1568">
        <f t="shared" ref="S28:S46" si="12">F28</f>
        <v>100</v>
      </c>
      <c r="T28" s="1567" t="s">
        <v>11</v>
      </c>
      <c r="U28" s="1568">
        <f t="shared" ref="U28:U46" si="13">H28</f>
        <v>100</v>
      </c>
      <c r="V28" s="1567" t="s">
        <v>11</v>
      </c>
      <c r="W28" s="1568">
        <f t="shared" ref="W28:W46" si="14">J28</f>
        <v>100</v>
      </c>
      <c r="X28" s="1561"/>
      <c r="Y28" s="3491"/>
      <c r="Z28" s="1569">
        <f t="shared" ref="Z28:Z46" si="15">Q28</f>
        <v>111</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491"/>
      <c r="Q29" s="1566">
        <f t="shared" si="11"/>
        <v>111</v>
      </c>
      <c r="R29" s="1567" t="s">
        <v>11</v>
      </c>
      <c r="S29" s="1568">
        <f t="shared" si="12"/>
        <v>100</v>
      </c>
      <c r="T29" s="1567" t="s">
        <v>11</v>
      </c>
      <c r="U29" s="1568">
        <f t="shared" si="13"/>
        <v>100</v>
      </c>
      <c r="V29" s="1567" t="s">
        <v>11</v>
      </c>
      <c r="W29" s="1568">
        <f t="shared" si="14"/>
        <v>100</v>
      </c>
      <c r="X29" s="1561"/>
      <c r="Y29" s="3491"/>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491"/>
      <c r="Q30" s="1566">
        <f t="shared" si="11"/>
        <v>111</v>
      </c>
      <c r="R30" s="1567" t="s">
        <v>11</v>
      </c>
      <c r="S30" s="1568">
        <f t="shared" si="12"/>
        <v>100</v>
      </c>
      <c r="T30" s="1567" t="s">
        <v>11</v>
      </c>
      <c r="U30" s="1568">
        <f t="shared" si="13"/>
        <v>100</v>
      </c>
      <c r="V30" s="1567" t="s">
        <v>11</v>
      </c>
      <c r="W30" s="1568">
        <f t="shared" si="14"/>
        <v>100</v>
      </c>
      <c r="X30" s="1561"/>
      <c r="Y30" s="3491"/>
      <c r="Z30" s="1569">
        <f t="shared" si="15"/>
        <v>111</v>
      </c>
      <c r="AA30" s="1570">
        <f t="shared" si="3"/>
        <v>1</v>
      </c>
      <c r="AB30" s="1570">
        <f t="shared" si="4"/>
        <v>1</v>
      </c>
      <c r="AC30" s="157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491"/>
      <c r="Q31" s="1566">
        <f t="shared" si="11"/>
        <v>111</v>
      </c>
      <c r="R31" s="1567" t="s">
        <v>11</v>
      </c>
      <c r="S31" s="1568">
        <f t="shared" si="12"/>
        <v>100</v>
      </c>
      <c r="T31" s="1567" t="s">
        <v>11</v>
      </c>
      <c r="U31" s="1568">
        <f t="shared" si="13"/>
        <v>100</v>
      </c>
      <c r="V31" s="1567" t="s">
        <v>11</v>
      </c>
      <c r="W31" s="1568">
        <f t="shared" si="14"/>
        <v>100</v>
      </c>
      <c r="X31" s="1561"/>
      <c r="Y31" s="3491"/>
      <c r="Z31" s="1569">
        <f t="shared" si="15"/>
        <v>111</v>
      </c>
      <c r="AA31" s="1570">
        <f t="shared" si="3"/>
        <v>1</v>
      </c>
      <c r="AB31" s="1570">
        <f t="shared" si="4"/>
        <v>1</v>
      </c>
      <c r="AC31" s="1570">
        <f t="shared" si="5"/>
        <v>1</v>
      </c>
    </row>
    <row r="32" spans="1:29" ht="15">
      <c r="A32" s="2923" t="s">
        <v>2756</v>
      </c>
      <c r="B32" s="171" t="s">
        <v>725</v>
      </c>
      <c r="C32" s="875" t="s">
        <v>4056</v>
      </c>
      <c r="D32" s="594">
        <v>100</v>
      </c>
      <c r="E32" s="876" t="s">
        <v>4056</v>
      </c>
      <c r="F32" s="572">
        <f>SUMIF(100:100,E32,101:101)-SUMIF(100:100,C32,101:101)+100</f>
        <v>100</v>
      </c>
      <c r="G32" s="875" t="s">
        <v>4056</v>
      </c>
      <c r="H32" s="594">
        <f>SUMIF(100:100,G32,101:101)-SUMIF(100:100,C32,101:101)+100</f>
        <v>100</v>
      </c>
      <c r="I32" s="876" t="s">
        <v>4056</v>
      </c>
      <c r="J32" s="537">
        <f>SUMIF(100:100,I32,101:101)-SUMIF(100:100,C32,101:101)+100</f>
        <v>100</v>
      </c>
      <c r="K32" s="861">
        <v>5</v>
      </c>
      <c r="L32" s="2136"/>
      <c r="M32" s="2128"/>
      <c r="N32" s="2128"/>
      <c r="O32" s="2135"/>
      <c r="P32" s="3492" t="s">
        <v>550</v>
      </c>
      <c r="Q32" s="1566" t="str">
        <f t="shared" si="11"/>
        <v>建筑类型</v>
      </c>
      <c r="R32" s="1567" t="s">
        <v>11</v>
      </c>
      <c r="S32" s="1568">
        <f t="shared" si="12"/>
        <v>100</v>
      </c>
      <c r="T32" s="1567" t="s">
        <v>11</v>
      </c>
      <c r="U32" s="1568">
        <f t="shared" si="13"/>
        <v>100</v>
      </c>
      <c r="V32" s="1567" t="s">
        <v>11</v>
      </c>
      <c r="W32" s="1568">
        <f t="shared" si="14"/>
        <v>100</v>
      </c>
      <c r="X32" s="1561"/>
      <c r="Y32" s="3493" t="s">
        <v>550</v>
      </c>
      <c r="Z32" s="1569" t="str">
        <f t="shared" si="15"/>
        <v>建筑类型</v>
      </c>
      <c r="AA32" s="1570">
        <f t="shared" si="3"/>
        <v>1</v>
      </c>
      <c r="AB32" s="1570">
        <f t="shared" si="4"/>
        <v>1</v>
      </c>
      <c r="AC32" s="1570">
        <f t="shared" si="5"/>
        <v>1</v>
      </c>
    </row>
    <row r="33" spans="1:29" s="1334" customFormat="1" ht="15">
      <c r="A33" s="600"/>
      <c r="B33" s="524" t="s">
        <v>726</v>
      </c>
      <c r="C33" s="877">
        <f>'数据-基础表'!B3</f>
        <v>290104.68000000005</v>
      </c>
      <c r="D33" s="252">
        <v>100</v>
      </c>
      <c r="E33" s="531">
        <v>329914</v>
      </c>
      <c r="F33" s="860">
        <f>LOOKUP(E33,103:103,104:104)-LOOKUP(C33,103:103,104:104)+100</f>
        <v>101</v>
      </c>
      <c r="G33" s="530">
        <v>215000</v>
      </c>
      <c r="H33" s="252">
        <f>LOOKUP(G33,103:103,104:104)-LOOKUP(C33,103:103,104:104)+100</f>
        <v>100</v>
      </c>
      <c r="I33" s="531">
        <v>236458</v>
      </c>
      <c r="J33" s="252">
        <f>LOOKUP(I33,103:103,104:104)-LOOKUP(C33,103:103,104:104)+100</f>
        <v>100</v>
      </c>
      <c r="K33" s="862"/>
      <c r="L33" s="2134"/>
      <c r="M33" s="2165"/>
      <c r="N33" s="2165"/>
      <c r="O33" s="2137"/>
      <c r="P33" s="3493"/>
      <c r="Q33" s="1599" t="str">
        <f t="shared" si="11"/>
        <v>项目建筑规模</v>
      </c>
      <c r="R33" s="1571" t="s">
        <v>11</v>
      </c>
      <c r="S33" s="1572">
        <f t="shared" si="12"/>
        <v>101</v>
      </c>
      <c r="T33" s="1571" t="s">
        <v>11</v>
      </c>
      <c r="U33" s="1572">
        <f t="shared" si="13"/>
        <v>100</v>
      </c>
      <c r="V33" s="1571" t="s">
        <v>11</v>
      </c>
      <c r="W33" s="1572">
        <f t="shared" si="14"/>
        <v>100</v>
      </c>
      <c r="X33" s="1573"/>
      <c r="Y33" s="3493"/>
      <c r="Z33" s="1574" t="str">
        <f t="shared" si="15"/>
        <v>项目建筑规模</v>
      </c>
      <c r="AA33" s="1570">
        <f t="shared" si="3"/>
        <v>0.99009900990099009</v>
      </c>
      <c r="AB33" s="1570">
        <f t="shared" si="4"/>
        <v>1</v>
      </c>
      <c r="AC33" s="1570">
        <f t="shared" si="5"/>
        <v>1</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9" t="s">
        <v>4234</v>
      </c>
      <c r="J34" s="537">
        <f>SUMIF(105:105,I34,106:106)-SUMIF(105:105,C34,106:106)+100</f>
        <v>100</v>
      </c>
      <c r="K34" s="861">
        <v>2</v>
      </c>
      <c r="L34" s="2136"/>
      <c r="M34" s="2128"/>
      <c r="N34" s="2128"/>
      <c r="O34" s="2135"/>
      <c r="P34" s="3493"/>
      <c r="Q34" s="1566" t="str">
        <f t="shared" si="11"/>
        <v>建筑结构</v>
      </c>
      <c r="R34" s="1567" t="s">
        <v>11</v>
      </c>
      <c r="S34" s="1568">
        <f t="shared" si="12"/>
        <v>100</v>
      </c>
      <c r="T34" s="1567" t="s">
        <v>11</v>
      </c>
      <c r="U34" s="1568">
        <f t="shared" si="13"/>
        <v>100</v>
      </c>
      <c r="V34" s="1567" t="s">
        <v>11</v>
      </c>
      <c r="W34" s="1568">
        <f t="shared" si="14"/>
        <v>100</v>
      </c>
      <c r="X34" s="1561"/>
      <c r="Y34" s="3493"/>
      <c r="Z34" s="1569" t="str">
        <f t="shared" si="15"/>
        <v>建筑结构</v>
      </c>
      <c r="AA34" s="1570">
        <f t="shared" si="3"/>
        <v>1</v>
      </c>
      <c r="AB34" s="1570">
        <f t="shared" si="4"/>
        <v>1</v>
      </c>
      <c r="AC34" s="1570">
        <f t="shared" si="5"/>
        <v>1</v>
      </c>
    </row>
    <row r="35" spans="1:29" ht="15">
      <c r="A35" s="591"/>
      <c r="B35" s="524" t="s">
        <v>728</v>
      </c>
      <c r="C35" s="596" t="s">
        <v>4238</v>
      </c>
      <c r="D35" s="537">
        <v>100</v>
      </c>
      <c r="E35" s="871" t="s">
        <v>4238</v>
      </c>
      <c r="F35" s="572">
        <f>SUMIF(107:107,E35,108:108)-SUMIF(107:107,C35,108:108)+100</f>
        <v>100</v>
      </c>
      <c r="G35" s="596" t="s">
        <v>4238</v>
      </c>
      <c r="H35" s="537">
        <f>SUMIF(107:107,G35,108:108)-SUMIF(107:107,C35,108:108)+100</f>
        <v>100</v>
      </c>
      <c r="I35" s="871" t="s">
        <v>4238</v>
      </c>
      <c r="J35" s="537">
        <f>SUMIF(107:107,I35,108:108)-SUMIF(107:107,C35,108:108)+100</f>
        <v>100</v>
      </c>
      <c r="K35" s="861">
        <v>2</v>
      </c>
      <c r="L35" s="2136"/>
      <c r="M35" s="2128"/>
      <c r="N35" s="2128"/>
      <c r="O35" s="2135"/>
      <c r="P35" s="3493"/>
      <c r="Q35" s="1566" t="str">
        <f t="shared" si="11"/>
        <v>建筑品质</v>
      </c>
      <c r="R35" s="1567" t="s">
        <v>11</v>
      </c>
      <c r="S35" s="1568">
        <f t="shared" si="12"/>
        <v>100</v>
      </c>
      <c r="T35" s="1567" t="s">
        <v>11</v>
      </c>
      <c r="U35" s="1568">
        <f t="shared" si="13"/>
        <v>100</v>
      </c>
      <c r="V35" s="1567" t="s">
        <v>11</v>
      </c>
      <c r="W35" s="1568">
        <f t="shared" si="14"/>
        <v>100</v>
      </c>
      <c r="X35" s="1561"/>
      <c r="Y35" s="3493"/>
      <c r="Z35" s="1569" t="str">
        <f t="shared" si="15"/>
        <v>建筑品质</v>
      </c>
      <c r="AA35" s="1570">
        <f t="shared" si="3"/>
        <v>1</v>
      </c>
      <c r="AB35" s="1570">
        <f t="shared" si="4"/>
        <v>1</v>
      </c>
      <c r="AC35" s="1570">
        <f t="shared" si="5"/>
        <v>1</v>
      </c>
    </row>
    <row r="36" spans="1:29" ht="15">
      <c r="A36" s="591"/>
      <c r="B36" s="524" t="s">
        <v>729</v>
      </c>
      <c r="C36" s="596" t="s">
        <v>4240</v>
      </c>
      <c r="D36" s="537">
        <v>100</v>
      </c>
      <c r="E36" s="871" t="s">
        <v>4240</v>
      </c>
      <c r="F36" s="572">
        <f>SUMIF(109:109,E36,110:110)-SUMIF(109:109,C36,110:110)+100</f>
        <v>100</v>
      </c>
      <c r="G36" s="596" t="s">
        <v>4240</v>
      </c>
      <c r="H36" s="537">
        <f>SUMIF(109:109,G36,110:110)-SUMIF(109:109,C36,110:110)+100</f>
        <v>100</v>
      </c>
      <c r="I36" s="871" t="s">
        <v>4240</v>
      </c>
      <c r="J36" s="537">
        <f>SUMIF(109:109,I36,110:110)-SUMIF(109:109,C36,110:110)+100</f>
        <v>100</v>
      </c>
      <c r="K36" s="861">
        <v>2</v>
      </c>
      <c r="L36" s="2136"/>
      <c r="M36" s="2128"/>
      <c r="N36" s="2128"/>
      <c r="O36" s="2135"/>
      <c r="P36" s="3493"/>
      <c r="Q36" s="1566" t="str">
        <f t="shared" si="11"/>
        <v>公共部分装修</v>
      </c>
      <c r="R36" s="1567" t="s">
        <v>11</v>
      </c>
      <c r="S36" s="1568">
        <f t="shared" si="12"/>
        <v>100</v>
      </c>
      <c r="T36" s="1567" t="s">
        <v>11</v>
      </c>
      <c r="U36" s="1568">
        <f t="shared" si="13"/>
        <v>100</v>
      </c>
      <c r="V36" s="1567" t="s">
        <v>11</v>
      </c>
      <c r="W36" s="1568">
        <f t="shared" si="14"/>
        <v>100</v>
      </c>
      <c r="X36" s="1561"/>
      <c r="Y36" s="3493"/>
      <c r="Z36" s="1569" t="str">
        <f t="shared" si="15"/>
        <v>公共部分装修</v>
      </c>
      <c r="AA36" s="1570">
        <f t="shared" si="3"/>
        <v>1</v>
      </c>
      <c r="AB36" s="1570">
        <f t="shared" si="4"/>
        <v>1</v>
      </c>
      <c r="AC36" s="1570">
        <f t="shared" si="5"/>
        <v>1</v>
      </c>
    </row>
    <row r="37" spans="1:29" s="1215"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29"/>
      <c r="M37" s="2130"/>
      <c r="N37" s="2130"/>
      <c r="O37" s="2131"/>
      <c r="P37" s="3493"/>
      <c r="Q37" s="1146" t="str">
        <f t="shared" si="11"/>
        <v>成新度</v>
      </c>
      <c r="R37" s="1562" t="s">
        <v>11</v>
      </c>
      <c r="S37" s="1563">
        <f t="shared" si="12"/>
        <v>100</v>
      </c>
      <c r="T37" s="1562" t="s">
        <v>11</v>
      </c>
      <c r="U37" s="1563">
        <f t="shared" si="13"/>
        <v>100</v>
      </c>
      <c r="V37" s="1562" t="s">
        <v>11</v>
      </c>
      <c r="W37" s="1563">
        <f t="shared" si="14"/>
        <v>100</v>
      </c>
      <c r="X37" s="1564"/>
      <c r="Y37" s="3493"/>
      <c r="Z37" s="1145" t="str">
        <f t="shared" si="15"/>
        <v>成新度</v>
      </c>
      <c r="AA37" s="1565">
        <f t="shared" si="3"/>
        <v>1</v>
      </c>
      <c r="AB37" s="1565">
        <f t="shared" si="4"/>
        <v>1</v>
      </c>
      <c r="AC37" s="1565">
        <f t="shared" si="5"/>
        <v>1</v>
      </c>
    </row>
    <row r="38" spans="1:29" ht="15">
      <c r="A38" s="591"/>
      <c r="B38" s="524" t="s">
        <v>731</v>
      </c>
      <c r="C38" s="596" t="s">
        <v>4252</v>
      </c>
      <c r="D38" s="537">
        <v>100</v>
      </c>
      <c r="E38" s="871" t="s">
        <v>4252</v>
      </c>
      <c r="F38" s="572">
        <f>SUMIF(114:114,E38,115:115)-SUMIF(114:114,C38,115:115)+100</f>
        <v>100</v>
      </c>
      <c r="G38" s="596" t="s">
        <v>4252</v>
      </c>
      <c r="H38" s="537">
        <f>SUMIF(114:114,G38,115:115)-SUMIF(114:114,C38,115:115)+100</f>
        <v>100</v>
      </c>
      <c r="I38" s="871" t="s">
        <v>4252</v>
      </c>
      <c r="J38" s="537">
        <f>SUMIF(114:114,I38,115:115)-SUMIF(114:114,C38,115:115)+100</f>
        <v>100</v>
      </c>
      <c r="K38" s="861">
        <v>2</v>
      </c>
      <c r="L38" s="2136"/>
      <c r="M38" s="2128"/>
      <c r="N38" s="2128"/>
      <c r="O38" s="2135"/>
      <c r="P38" s="3493" t="s">
        <v>550</v>
      </c>
      <c r="Q38" s="1566" t="str">
        <f t="shared" si="11"/>
        <v>物业管理</v>
      </c>
      <c r="R38" s="1567" t="s">
        <v>11</v>
      </c>
      <c r="S38" s="1568">
        <f t="shared" si="12"/>
        <v>100</v>
      </c>
      <c r="T38" s="1567" t="s">
        <v>11</v>
      </c>
      <c r="U38" s="1568">
        <f t="shared" si="13"/>
        <v>100</v>
      </c>
      <c r="V38" s="1567" t="s">
        <v>11</v>
      </c>
      <c r="W38" s="1568">
        <f t="shared" si="14"/>
        <v>100</v>
      </c>
      <c r="X38" s="1561"/>
      <c r="Y38" s="3493" t="s">
        <v>550</v>
      </c>
      <c r="Z38" s="1569" t="str">
        <f t="shared" si="15"/>
        <v>物业管理</v>
      </c>
      <c r="AA38" s="1570">
        <f t="shared" si="3"/>
        <v>1</v>
      </c>
      <c r="AB38" s="1570">
        <f t="shared" si="4"/>
        <v>1</v>
      </c>
      <c r="AC38" s="1570">
        <f t="shared" si="5"/>
        <v>1</v>
      </c>
    </row>
    <row r="39" spans="1:29" ht="15">
      <c r="A39" s="591"/>
      <c r="B39" s="1889" t="s">
        <v>2565</v>
      </c>
      <c r="C39" s="596" t="s">
        <v>4107</v>
      </c>
      <c r="D39" s="537">
        <v>100</v>
      </c>
      <c r="E39" s="871" t="s">
        <v>4107</v>
      </c>
      <c r="F39" s="572">
        <f>SUMIF(116:116,E39,117:117)-SUMIF(116:116,C39,117:117)+100</f>
        <v>100</v>
      </c>
      <c r="G39" s="596" t="s">
        <v>4107</v>
      </c>
      <c r="H39" s="537">
        <f>SUMIF(116:116,G39,117:117)-SUMIF(116:116,C39,117:117)+100</f>
        <v>100</v>
      </c>
      <c r="I39" s="871" t="s">
        <v>4107</v>
      </c>
      <c r="J39" s="537">
        <f>SUMIF(116:116,I39,117:117)-SUMIF(116:116,C39,117:117)+100</f>
        <v>100</v>
      </c>
      <c r="K39" s="861">
        <v>0</v>
      </c>
      <c r="L39" s="2136"/>
      <c r="M39" s="2128"/>
      <c r="N39" s="2128"/>
      <c r="O39" s="2135"/>
      <c r="P39" s="3493"/>
      <c r="Q39" s="1566" t="str">
        <f t="shared" si="11"/>
        <v>市政基础设施</v>
      </c>
      <c r="R39" s="1567" t="s">
        <v>11</v>
      </c>
      <c r="S39" s="1568">
        <f t="shared" si="12"/>
        <v>100</v>
      </c>
      <c r="T39" s="1567" t="s">
        <v>11</v>
      </c>
      <c r="U39" s="1568">
        <f t="shared" si="13"/>
        <v>100</v>
      </c>
      <c r="V39" s="1567" t="s">
        <v>11</v>
      </c>
      <c r="W39" s="1568">
        <f t="shared" si="14"/>
        <v>100</v>
      </c>
      <c r="X39" s="1561"/>
      <c r="Y39" s="3493"/>
      <c r="Z39" s="1569" t="str">
        <f t="shared" si="15"/>
        <v>市政基础设施</v>
      </c>
      <c r="AA39" s="1570">
        <f t="shared" si="3"/>
        <v>1</v>
      </c>
      <c r="AB39" s="1570">
        <f t="shared" si="4"/>
        <v>1</v>
      </c>
      <c r="AC39" s="1570">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v>0</v>
      </c>
      <c r="L40" s="2136"/>
      <c r="M40" s="2128"/>
      <c r="N40" s="2128"/>
      <c r="O40" s="2135"/>
      <c r="P40" s="3493"/>
      <c r="Q40" s="1566" t="str">
        <f t="shared" si="11"/>
        <v>房型</v>
      </c>
      <c r="R40" s="1567" t="s">
        <v>11</v>
      </c>
      <c r="S40" s="1568">
        <f t="shared" si="12"/>
        <v>100</v>
      </c>
      <c r="T40" s="1567" t="s">
        <v>11</v>
      </c>
      <c r="U40" s="1568">
        <f t="shared" si="13"/>
        <v>100</v>
      </c>
      <c r="V40" s="1567" t="s">
        <v>11</v>
      </c>
      <c r="W40" s="1568">
        <f t="shared" si="14"/>
        <v>100</v>
      </c>
      <c r="X40" s="1561"/>
      <c r="Y40" s="3493"/>
      <c r="Z40" s="1569" t="str">
        <f t="shared" si="15"/>
        <v>房型</v>
      </c>
      <c r="AA40" s="1570">
        <f t="shared" si="3"/>
        <v>1</v>
      </c>
      <c r="AB40" s="1570">
        <f t="shared" si="4"/>
        <v>1</v>
      </c>
      <c r="AC40" s="1570">
        <f t="shared" si="5"/>
        <v>1</v>
      </c>
    </row>
    <row r="41" spans="1:29" s="1334"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4"/>
      <c r="M41" s="2165"/>
      <c r="N41" s="2165"/>
      <c r="O41" s="2137"/>
      <c r="P41" s="3493"/>
      <c r="Q41" s="1599" t="str">
        <f t="shared" si="11"/>
        <v>单套/主力户型建筑面积</v>
      </c>
      <c r="R41" s="1571" t="s">
        <v>11</v>
      </c>
      <c r="S41" s="1572">
        <f t="shared" si="12"/>
        <v>100</v>
      </c>
      <c r="T41" s="1571" t="s">
        <v>11</v>
      </c>
      <c r="U41" s="1572">
        <f t="shared" si="13"/>
        <v>100</v>
      </c>
      <c r="V41" s="1571" t="s">
        <v>11</v>
      </c>
      <c r="W41" s="1572">
        <f t="shared" si="14"/>
        <v>100</v>
      </c>
      <c r="X41" s="1573"/>
      <c r="Y41" s="3493"/>
      <c r="Z41" s="1574" t="str">
        <f t="shared" si="15"/>
        <v>单套/主力户型建筑面积</v>
      </c>
      <c r="AA41" s="1570">
        <f t="shared" si="3"/>
        <v>1</v>
      </c>
      <c r="AB41" s="1570">
        <f t="shared" si="4"/>
        <v>1</v>
      </c>
      <c r="AC41" s="1570">
        <f t="shared" si="5"/>
        <v>1</v>
      </c>
    </row>
    <row r="42" spans="1:29" ht="15">
      <c r="A42" s="591"/>
      <c r="B42" s="524" t="s">
        <v>734</v>
      </c>
      <c r="C42" s="596" t="s">
        <v>4245</v>
      </c>
      <c r="D42" s="537">
        <v>100</v>
      </c>
      <c r="E42" s="871" t="s">
        <v>4245</v>
      </c>
      <c r="F42" s="572">
        <f>SUMIF(122:122,E42,123:123)-SUMIF(122:122,C42,123:123)+100</f>
        <v>100</v>
      </c>
      <c r="G42" s="596" t="s">
        <v>4245</v>
      </c>
      <c r="H42" s="537">
        <f>SUMIF(122:122,G42,123:123)-SUMIF(122:122,C42,123:123)+100</f>
        <v>100</v>
      </c>
      <c r="I42" s="871" t="s">
        <v>4245</v>
      </c>
      <c r="J42" s="537">
        <f>SUMIF(122:122,I42,123:123)-SUMIF(122:122,C42,123:123)+100</f>
        <v>100</v>
      </c>
      <c r="K42" s="861"/>
      <c r="L42" s="2136"/>
      <c r="M42" s="2128"/>
      <c r="N42" s="2128"/>
      <c r="O42" s="2135"/>
      <c r="P42" s="3493"/>
      <c r="Q42" s="1566" t="str">
        <f t="shared" si="11"/>
        <v>内部装修</v>
      </c>
      <c r="R42" s="1567" t="s">
        <v>11</v>
      </c>
      <c r="S42" s="1568">
        <f t="shared" si="12"/>
        <v>100</v>
      </c>
      <c r="T42" s="1567" t="s">
        <v>11</v>
      </c>
      <c r="U42" s="1568">
        <f t="shared" si="13"/>
        <v>100</v>
      </c>
      <c r="V42" s="1567" t="s">
        <v>11</v>
      </c>
      <c r="W42" s="1568">
        <f t="shared" si="14"/>
        <v>100</v>
      </c>
      <c r="X42" s="1561"/>
      <c r="Y42" s="3493"/>
      <c r="Z42" s="1569" t="str">
        <f t="shared" si="15"/>
        <v>内部装修</v>
      </c>
      <c r="AA42" s="1570">
        <f t="shared" si="3"/>
        <v>1</v>
      </c>
      <c r="AB42" s="1570">
        <f t="shared" si="4"/>
        <v>1</v>
      </c>
      <c r="AC42" s="1570">
        <f t="shared" si="5"/>
        <v>1</v>
      </c>
    </row>
    <row r="43" spans="1:29" ht="27">
      <c r="A43" s="591"/>
      <c r="B43" s="524" t="s">
        <v>735</v>
      </c>
      <c r="C43" s="596" t="s">
        <v>4095</v>
      </c>
      <c r="D43" s="537">
        <v>100</v>
      </c>
      <c r="E43" s="871" t="s">
        <v>4095</v>
      </c>
      <c r="F43" s="572">
        <f>SUMIF(124:124,E43,125:125)-SUMIF(124:124,C43,125:125)+100</f>
        <v>100</v>
      </c>
      <c r="G43" s="596" t="s">
        <v>4095</v>
      </c>
      <c r="H43" s="537">
        <f>SUMIF(124:124,G43,125:125)-SUMIF(124:124,C43,125:125)+100</f>
        <v>100</v>
      </c>
      <c r="I43" s="871" t="s">
        <v>4095</v>
      </c>
      <c r="J43" s="537">
        <f>SUMIF(124:124,I43,125:125)-SUMIF(124:124,C43,125:125)+100</f>
        <v>100</v>
      </c>
      <c r="K43" s="861"/>
      <c r="L43" s="2136"/>
      <c r="M43" s="2128"/>
      <c r="N43" s="2128"/>
      <c r="O43" s="2135"/>
      <c r="P43" s="3493"/>
      <c r="Q43" s="1566" t="str">
        <f t="shared" si="11"/>
        <v>内部装修维护情况</v>
      </c>
      <c r="R43" s="1567" t="s">
        <v>11</v>
      </c>
      <c r="S43" s="1568">
        <f t="shared" si="12"/>
        <v>100</v>
      </c>
      <c r="T43" s="1567" t="s">
        <v>11</v>
      </c>
      <c r="U43" s="1568">
        <f t="shared" si="13"/>
        <v>100</v>
      </c>
      <c r="V43" s="1567" t="s">
        <v>11</v>
      </c>
      <c r="W43" s="1568">
        <f t="shared" si="14"/>
        <v>100</v>
      </c>
      <c r="X43" s="1561"/>
      <c r="Y43" s="3493"/>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493"/>
      <c r="Q44" s="1146">
        <f t="shared" si="11"/>
        <v>111</v>
      </c>
      <c r="R44" s="1562" t="s">
        <v>11</v>
      </c>
      <c r="S44" s="1563">
        <f t="shared" si="12"/>
        <v>100</v>
      </c>
      <c r="T44" s="1562" t="s">
        <v>11</v>
      </c>
      <c r="U44" s="1563">
        <f t="shared" si="13"/>
        <v>100</v>
      </c>
      <c r="V44" s="1562" t="s">
        <v>11</v>
      </c>
      <c r="W44" s="1563">
        <f t="shared" si="14"/>
        <v>100</v>
      </c>
      <c r="X44" s="1564"/>
      <c r="Y44" s="3493"/>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493"/>
      <c r="Q45" s="1566">
        <f t="shared" si="11"/>
        <v>111</v>
      </c>
      <c r="R45" s="1567" t="s">
        <v>11</v>
      </c>
      <c r="S45" s="1568">
        <f t="shared" si="12"/>
        <v>100</v>
      </c>
      <c r="T45" s="1567" t="s">
        <v>11</v>
      </c>
      <c r="U45" s="1568">
        <f t="shared" si="13"/>
        <v>100</v>
      </c>
      <c r="V45" s="1567" t="s">
        <v>11</v>
      </c>
      <c r="W45" s="1568">
        <f t="shared" si="14"/>
        <v>100</v>
      </c>
      <c r="X45" s="1561"/>
      <c r="Y45" s="3493"/>
      <c r="Z45" s="1569">
        <f t="shared" si="15"/>
        <v>111</v>
      </c>
      <c r="AA45" s="1570">
        <f t="shared" si="3"/>
        <v>1</v>
      </c>
      <c r="AB45" s="1570">
        <f t="shared" si="4"/>
        <v>1</v>
      </c>
      <c r="AC45" s="157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568"/>
      <c r="Q46" s="1566">
        <f t="shared" si="11"/>
        <v>111</v>
      </c>
      <c r="R46" s="1567" t="s">
        <v>10</v>
      </c>
      <c r="S46" s="1568">
        <f t="shared" si="12"/>
        <v>100</v>
      </c>
      <c r="T46" s="1567" t="s">
        <v>10</v>
      </c>
      <c r="U46" s="1568">
        <f t="shared" si="13"/>
        <v>100</v>
      </c>
      <c r="V46" s="1567" t="s">
        <v>10</v>
      </c>
      <c r="W46" s="1568">
        <f t="shared" si="14"/>
        <v>100</v>
      </c>
      <c r="X46" s="1561"/>
      <c r="Y46" s="3568"/>
      <c r="Z46" s="1569">
        <f t="shared" si="15"/>
        <v>111</v>
      </c>
      <c r="AA46" s="1570">
        <f t="shared" si="3"/>
        <v>1</v>
      </c>
      <c r="AB46" s="1570">
        <f t="shared" si="4"/>
        <v>1</v>
      </c>
      <c r="AC46" s="1570">
        <f t="shared" si="5"/>
        <v>1</v>
      </c>
    </row>
    <row r="47" spans="1:29" ht="15">
      <c r="A47" s="604" t="s">
        <v>736</v>
      </c>
      <c r="B47" s="884"/>
      <c r="C47" s="2643" t="s">
        <v>9</v>
      </c>
      <c r="D47" s="2644"/>
      <c r="E47" s="2645">
        <f>ROUND(23500*L47,0)</f>
        <v>23265</v>
      </c>
      <c r="F47" s="2646"/>
      <c r="G47" s="2647">
        <f>ROUND(23000*L47,0)</f>
        <v>22770</v>
      </c>
      <c r="H47" s="2648"/>
      <c r="I47" s="2645">
        <f>ROUND(22000*L47,0)</f>
        <v>21780</v>
      </c>
      <c r="J47" s="2648"/>
      <c r="K47" s="1600"/>
      <c r="L47" s="2138">
        <v>0.99</v>
      </c>
      <c r="M47" s="2139"/>
      <c r="N47" s="2128"/>
      <c r="O47" s="2139"/>
      <c r="P47" s="3488" t="str">
        <f>A47</f>
        <v>成交单价（元/平方米）</v>
      </c>
      <c r="Q47" s="3488"/>
      <c r="R47" s="3567">
        <f>E47</f>
        <v>23265</v>
      </c>
      <c r="S47" s="3567"/>
      <c r="T47" s="3567">
        <f>G47</f>
        <v>22770</v>
      </c>
      <c r="U47" s="3567"/>
      <c r="V47" s="3567">
        <f>I47</f>
        <v>21780</v>
      </c>
      <c r="W47" s="3567"/>
      <c r="X47" s="1553"/>
      <c r="Y47" s="1575"/>
      <c r="Z47" s="1553"/>
      <c r="AA47" s="1553"/>
      <c r="AB47" s="1553"/>
      <c r="AC47" s="1553"/>
    </row>
    <row r="48" spans="1:29" ht="15.75" thickBot="1">
      <c r="A48" s="612" t="s">
        <v>2761</v>
      </c>
      <c r="B48" s="885"/>
      <c r="C48" s="2649">
        <f>R49</f>
        <v>24897</v>
      </c>
      <c r="D48" s="2650"/>
      <c r="E48" s="2651">
        <f>R48</f>
        <v>25770</v>
      </c>
      <c r="F48" s="2651"/>
      <c r="G48" s="2649">
        <f>T48</f>
        <v>25994</v>
      </c>
      <c r="H48" s="2650"/>
      <c r="I48" s="2651">
        <f>V48</f>
        <v>22926</v>
      </c>
      <c r="J48" s="2650"/>
      <c r="K48" s="1601"/>
      <c r="L48" s="2138"/>
      <c r="M48" s="2139"/>
      <c r="N48" s="2139"/>
      <c r="O48" s="2139"/>
      <c r="P48" s="3488" t="str">
        <f>A48</f>
        <v>比较价格（元/平方米）</v>
      </c>
      <c r="Q48" s="3488"/>
      <c r="R48" s="3567">
        <f>IF(F1="售价",ROUND(PRODUCT(R47,AA7:AA46),0),ROUND(PRODUCT(R47,AA7:AA46),1))</f>
        <v>25770</v>
      </c>
      <c r="S48" s="3567"/>
      <c r="T48" s="3567">
        <f>IF(F1="售价",ROUND(PRODUCT(T47,AB7:AB46),0),ROUND(PRODUCT(T47,AB7:AB46),1))</f>
        <v>25994</v>
      </c>
      <c r="U48" s="3567"/>
      <c r="V48" s="3567">
        <f>IF(F1="售价",ROUND(PRODUCT(V47,AC7:AC46),0),ROUND(PRODUCT(V47,AC7:AC46),1))</f>
        <v>22926</v>
      </c>
      <c r="W48" s="3567"/>
      <c r="X48" s="1553"/>
      <c r="Y48" s="1553"/>
      <c r="Z48" s="1553"/>
      <c r="AA48" s="1553"/>
      <c r="AB48" s="1553"/>
      <c r="AC48" s="1553"/>
    </row>
    <row r="49" spans="1:29" ht="15.75" thickBot="1">
      <c r="A49" s="618" t="s">
        <v>2930</v>
      </c>
      <c r="B49" s="619"/>
      <c r="C49" s="2652">
        <f>R49</f>
        <v>24897</v>
      </c>
      <c r="D49" s="2652"/>
      <c r="E49" s="2652"/>
      <c r="F49" s="2652"/>
      <c r="G49" s="2652"/>
      <c r="H49" s="2652"/>
      <c r="I49" s="2652"/>
      <c r="J49" s="2652"/>
      <c r="K49" s="1602"/>
      <c r="L49" s="2138"/>
      <c r="M49" s="2139"/>
      <c r="N49" s="2139"/>
      <c r="O49" s="2139"/>
      <c r="P49" s="3509" t="str">
        <f>A49</f>
        <v>估价对象XX用房的比较价格（楼面单价，元/平方米）</v>
      </c>
      <c r="Q49" s="3510"/>
      <c r="R49" s="3566">
        <f>IF(F1="售价",ROUND(AVERAGE(R48:V48),0),ROUND(AVERAGE(R48:V48),1))</f>
        <v>24897</v>
      </c>
      <c r="S49" s="3566"/>
      <c r="T49" s="3566"/>
      <c r="U49" s="3566"/>
      <c r="V49" s="3566"/>
      <c r="W49" s="3566"/>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0.10767246937459696</v>
      </c>
      <c r="F52" s="624" t="str">
        <f>IF(OR(E52&gt;=0.3,E52&lt;=-0.3),"超过30%","")</f>
        <v/>
      </c>
      <c r="G52" s="623">
        <f>IF(G47&lt;G48,G48/G47-1,G47/G48-1)</f>
        <v>0.14158981115502844</v>
      </c>
      <c r="H52" s="624" t="str">
        <f>IF(OR(G52&gt;=0.3,G52&lt;=-0.3),"超过30%","")</f>
        <v/>
      </c>
      <c r="I52" s="623">
        <f>IF(I47&lt;I48,I48/I47-1,I47/I48-1)</f>
        <v>5.2617079889807128E-2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8.6922778424525227E-3</v>
      </c>
      <c r="F53" s="624" t="str">
        <f>IF(OR(E53&gt;=0.2,E53&lt;=-0.2),"超过20%","")</f>
        <v/>
      </c>
      <c r="G53" s="623">
        <f>IF(G48&lt;I48,I48/G48-1,G48/I48-1)</f>
        <v>0.1338218616418041</v>
      </c>
      <c r="H53" s="624" t="str">
        <f>IF(OR(G53&gt;=0.2,G53&lt;=-0.2),"超过20%","")</f>
        <v/>
      </c>
      <c r="I53" s="623">
        <f>IF(I48&lt;E48,E48/I48-1,I48/E48-1)</f>
        <v>0.12405129547238936</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2.1739130434782705E-2</v>
      </c>
      <c r="F54" s="624" t="str">
        <f>IF(OR(E54&gt;=0.3,E54&lt;=-0.3),"超过30%","")</f>
        <v/>
      </c>
      <c r="G54" s="623">
        <f>IF(G47&lt;I47,I47/G47-1,G47/I47-1)</f>
        <v>4.5454545454545414E-2</v>
      </c>
      <c r="H54" s="624" t="str">
        <f>IF(OR(G54&gt;=0.3,G54&lt;=-0.3),"超过30%","")</f>
        <v/>
      </c>
      <c r="I54" s="623">
        <f>IF(I47&lt;E47,E47/I47-1,I47/E47-1)</f>
        <v>6.8181818181818121E-2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20"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v>100</v>
      </c>
      <c r="D64" s="668"/>
      <c r="E64" s="1603"/>
      <c r="F64" s="1603"/>
      <c r="G64" s="1603"/>
      <c r="H64" s="1603"/>
      <c r="I64" s="1603"/>
      <c r="J64" s="1603"/>
      <c r="K64" s="1603"/>
      <c r="L64" s="1603"/>
      <c r="M64" s="1604"/>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v>
      </c>
      <c r="H67" s="679" t="str">
        <f t="shared" si="18"/>
        <v>（含）-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97</v>
      </c>
      <c r="E77" s="676">
        <f>D77-$K15</f>
        <v>94</v>
      </c>
      <c r="F77" s="676">
        <f>E77-$K15</f>
        <v>91</v>
      </c>
      <c r="G77" s="676">
        <f>F77-$K15</f>
        <v>88</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97</v>
      </c>
      <c r="E81" s="676">
        <f>D81-$K19</f>
        <v>94</v>
      </c>
      <c r="F81" s="676">
        <f>E81-$K19</f>
        <v>91</v>
      </c>
      <c r="G81" s="676">
        <f>F81-$K19</f>
        <v>88</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95</v>
      </c>
      <c r="E85" s="676">
        <f>D85-$K23</f>
        <v>90</v>
      </c>
      <c r="F85" s="676">
        <f>E85-$K23</f>
        <v>85</v>
      </c>
      <c r="G85" s="676">
        <f>F85-$K23</f>
        <v>80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1890" t="s">
        <v>2257</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道路级别</v>
      </c>
      <c r="C90" s="3224" t="s">
        <v>4225</v>
      </c>
      <c r="D90" s="3224" t="s">
        <v>4226</v>
      </c>
      <c r="E90" s="3224" t="s">
        <v>4227</v>
      </c>
      <c r="F90" s="3224" t="s">
        <v>4228</v>
      </c>
      <c r="G90" s="3224" t="s">
        <v>4229</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223" t="s">
        <v>4230</v>
      </c>
      <c r="D100" s="3223" t="s">
        <v>4231</v>
      </c>
      <c r="E100" s="3223" t="s">
        <v>4232</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100000(含)-200000</v>
      </c>
      <c r="E102" s="705" t="str">
        <f t="shared" si="23"/>
        <v>200000(含)-300000</v>
      </c>
      <c r="F102" s="705" t="str">
        <f t="shared" si="23"/>
        <v>300000(含)-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100000</v>
      </c>
      <c r="E103" s="727">
        <v>200000</v>
      </c>
      <c r="F103" s="727">
        <v>300000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0</v>
      </c>
      <c r="D104" s="668">
        <v>101</v>
      </c>
      <c r="E104" s="668">
        <v>102</v>
      </c>
      <c r="F104" s="668">
        <v>103</v>
      </c>
      <c r="G104" s="668"/>
      <c r="H104" s="668"/>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4233</v>
      </c>
      <c r="D105" s="3224" t="s">
        <v>4235</v>
      </c>
      <c r="E105" s="3225" t="s">
        <v>4236</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225" t="s">
        <v>4237</v>
      </c>
      <c r="D107" s="3225" t="s">
        <v>4239</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3224" t="s">
        <v>4241</v>
      </c>
      <c r="D109" s="3224" t="s">
        <v>4242</v>
      </c>
      <c r="E109" s="3224" t="s">
        <v>4244</v>
      </c>
      <c r="F109" s="3225" t="s">
        <v>4246</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3224" t="s">
        <v>4253</v>
      </c>
      <c r="D114" s="3224" t="s">
        <v>4254</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2557</v>
      </c>
      <c r="C116" s="3224" t="s">
        <v>4255</v>
      </c>
      <c r="D116" s="3224" t="s">
        <v>4256</v>
      </c>
      <c r="E116" s="3224" t="s">
        <v>4258</v>
      </c>
      <c r="F116" s="3224" t="s">
        <v>4259</v>
      </c>
      <c r="G116" s="3224" t="s">
        <v>4260</v>
      </c>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4241</v>
      </c>
      <c r="D122" s="3224" t="s">
        <v>4242</v>
      </c>
      <c r="E122" s="3224" t="s">
        <v>4244</v>
      </c>
      <c r="F122" s="3225" t="s">
        <v>4246</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80" zoomScaleNormal="80" workbookViewId="0">
      <selection activeCell="C48" sqref="C4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757</v>
      </c>
      <c r="C1" s="501" t="s">
        <v>720</v>
      </c>
      <c r="D1" s="2362" t="s">
        <v>2993</v>
      </c>
      <c r="E1" s="503"/>
      <c r="F1" s="2823" t="s">
        <v>4265</v>
      </c>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467</v>
      </c>
      <c r="B2" s="847">
        <f>ROUND(B3*D3/10000,0)</f>
        <v>15538</v>
      </c>
      <c r="C2" s="2121"/>
      <c r="D2" s="2121"/>
      <c r="E2" s="2055"/>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519</v>
      </c>
      <c r="B3" s="507">
        <f>C49</f>
        <v>31928</v>
      </c>
      <c r="C3" s="849" t="s">
        <v>722</v>
      </c>
      <c r="D3" s="848">
        <f>SUMIF('数据-汇总表'!$C19:$C33,D1,'数据-汇总表'!$E19:$E33)</f>
        <v>4866.7</v>
      </c>
      <c r="E3" s="2055"/>
      <c r="F3" s="2123"/>
      <c r="G3" s="2122"/>
      <c r="H3" s="2122"/>
      <c r="I3" s="2122"/>
      <c r="J3" s="2122"/>
      <c r="K3" s="2124"/>
      <c r="L3" s="2125"/>
      <c r="M3" s="2126"/>
      <c r="N3" s="2126"/>
      <c r="O3" s="2126"/>
      <c r="P3" s="1558"/>
      <c r="Q3" s="1558"/>
      <c r="R3" s="1558"/>
      <c r="S3" s="1558"/>
      <c r="T3" s="1558"/>
      <c r="U3" s="1558"/>
      <c r="V3" s="1558"/>
      <c r="W3" s="1558"/>
      <c r="X3" s="1558"/>
      <c r="Y3" s="1558"/>
      <c r="Z3" s="1558"/>
      <c r="AA3" s="1558"/>
      <c r="AB3" s="1558"/>
      <c r="AC3" s="425"/>
    </row>
    <row r="4" spans="1:29" ht="15">
      <c r="A4" s="509" t="s">
        <v>521</v>
      </c>
      <c r="B4" s="510"/>
      <c r="C4" s="3494" t="s">
        <v>522</v>
      </c>
      <c r="D4" s="3495"/>
      <c r="E4" s="3518" t="s">
        <v>523</v>
      </c>
      <c r="F4" s="3519"/>
      <c r="G4" s="3494" t="s">
        <v>524</v>
      </c>
      <c r="H4" s="3495"/>
      <c r="I4" s="3494" t="s">
        <v>525</v>
      </c>
      <c r="J4" s="3495"/>
      <c r="K4" s="511" t="s">
        <v>526</v>
      </c>
      <c r="L4" s="2127"/>
      <c r="M4" s="2128"/>
      <c r="N4" s="2128"/>
      <c r="O4" s="2128"/>
      <c r="P4" s="3496" t="s">
        <v>527</v>
      </c>
      <c r="Q4" s="3497"/>
      <c r="R4" s="3482" t="s">
        <v>523</v>
      </c>
      <c r="S4" s="3483"/>
      <c r="T4" s="3482" t="s">
        <v>524</v>
      </c>
      <c r="U4" s="3483"/>
      <c r="V4" s="3502" t="s">
        <v>525</v>
      </c>
      <c r="W4" s="3502"/>
      <c r="X4" s="1561"/>
      <c r="Y4" s="3482" t="s">
        <v>527</v>
      </c>
      <c r="Z4" s="3483"/>
      <c r="AA4" s="3477" t="s">
        <v>523</v>
      </c>
      <c r="AB4" s="3502" t="s">
        <v>524</v>
      </c>
      <c r="AC4" s="3477" t="s">
        <v>525</v>
      </c>
    </row>
    <row r="5" spans="1:29" ht="15">
      <c r="A5" s="512"/>
      <c r="B5" s="513"/>
      <c r="C5" s="3505" t="s">
        <v>2924</v>
      </c>
      <c r="D5" s="3506"/>
      <c r="E5" s="3564" t="s">
        <v>4314</v>
      </c>
      <c r="F5" s="3521"/>
      <c r="G5" s="3565" t="s">
        <v>4315</v>
      </c>
      <c r="H5" s="3506"/>
      <c r="I5" s="3565" t="s">
        <v>4315</v>
      </c>
      <c r="J5" s="3506"/>
      <c r="K5" s="511"/>
      <c r="L5" s="2127"/>
      <c r="M5" s="2128"/>
      <c r="N5" s="2128"/>
      <c r="O5" s="2128"/>
      <c r="P5" s="3498"/>
      <c r="Q5" s="3499"/>
      <c r="R5" s="3484"/>
      <c r="S5" s="3485"/>
      <c r="T5" s="3484"/>
      <c r="U5" s="3485"/>
      <c r="V5" s="3502"/>
      <c r="W5" s="3502"/>
      <c r="X5" s="1561"/>
      <c r="Y5" s="3484"/>
      <c r="Z5" s="3485"/>
      <c r="AA5" s="3478"/>
      <c r="AB5" s="3502"/>
      <c r="AC5" s="3478"/>
    </row>
    <row r="6" spans="1:29" ht="15.75" thickBot="1">
      <c r="A6" s="514"/>
      <c r="B6" s="515"/>
      <c r="C6" s="3503" t="s">
        <v>2928</v>
      </c>
      <c r="D6" s="3504"/>
      <c r="E6" s="3522" t="s">
        <v>2928</v>
      </c>
      <c r="F6" s="3523"/>
      <c r="G6" s="3503" t="s">
        <v>2928</v>
      </c>
      <c r="H6" s="3504"/>
      <c r="I6" s="3503" t="s">
        <v>2928</v>
      </c>
      <c r="J6" s="3504"/>
      <c r="K6" s="511" t="s">
        <v>528</v>
      </c>
      <c r="L6" s="2127"/>
      <c r="M6" s="2128"/>
      <c r="N6" s="2128"/>
      <c r="O6" s="2128"/>
      <c r="P6" s="3500"/>
      <c r="Q6" s="3501"/>
      <c r="R6" s="3484"/>
      <c r="S6" s="3485"/>
      <c r="T6" s="3486"/>
      <c r="U6" s="3487"/>
      <c r="V6" s="3502"/>
      <c r="W6" s="3502"/>
      <c r="X6" s="1561"/>
      <c r="Y6" s="3486"/>
      <c r="Z6" s="3487"/>
      <c r="AA6" s="3479"/>
      <c r="AB6" s="3502"/>
      <c r="AC6" s="3479"/>
    </row>
    <row r="7" spans="1:29" s="1215" customFormat="1" ht="15.75" thickBot="1">
      <c r="A7" s="2928"/>
      <c r="B7" s="2935" t="s">
        <v>529</v>
      </c>
      <c r="C7" s="516">
        <f>'数据-取费表'!B2</f>
        <v>43313</v>
      </c>
      <c r="D7" s="517">
        <v>100</v>
      </c>
      <c r="E7" s="518">
        <f>C7</f>
        <v>43313</v>
      </c>
      <c r="F7" s="519">
        <f>SUMIF(58:58,YEAR(E7)&amp;"-"&amp;MONTH(E7),59:59)</f>
        <v>100</v>
      </c>
      <c r="G7" s="518">
        <f>C7</f>
        <v>43313</v>
      </c>
      <c r="H7" s="517">
        <f>SUMIF(58:58,YEAR(G7)&amp;"-"&amp;MONTH(G7),59:59)</f>
        <v>100</v>
      </c>
      <c r="I7" s="518">
        <f>C7</f>
        <v>43313</v>
      </c>
      <c r="J7" s="517">
        <f>SUMIF(58:58,YEAR(I7)&amp;"-"&amp;MONTH(I7),59:59)</f>
        <v>100</v>
      </c>
      <c r="K7" s="521"/>
      <c r="L7" s="2129"/>
      <c r="M7" s="2130"/>
      <c r="N7" s="2130"/>
      <c r="O7" s="2130"/>
      <c r="P7" s="3480" t="s">
        <v>530</v>
      </c>
      <c r="Q7" s="3489"/>
      <c r="R7" s="1562" t="s">
        <v>8</v>
      </c>
      <c r="S7" s="1563">
        <f t="shared" ref="S7:S15" si="0">F7</f>
        <v>100</v>
      </c>
      <c r="T7" s="1562" t="s">
        <v>8</v>
      </c>
      <c r="U7" s="1563">
        <f t="shared" ref="U7:U15" si="1">H7</f>
        <v>100</v>
      </c>
      <c r="V7" s="1562" t="s">
        <v>8</v>
      </c>
      <c r="W7" s="1563">
        <f t="shared" ref="W7:W15" si="2">J7</f>
        <v>100</v>
      </c>
      <c r="X7" s="1564"/>
      <c r="Y7" s="3480" t="s">
        <v>530</v>
      </c>
      <c r="Z7" s="3481"/>
      <c r="AA7" s="1565">
        <f>D7/F7</f>
        <v>1</v>
      </c>
      <c r="AB7" s="1565">
        <f>D7/H7</f>
        <v>1</v>
      </c>
      <c r="AC7" s="1565">
        <f>D7/J7</f>
        <v>1</v>
      </c>
    </row>
    <row r="8" spans="1:29" s="1215" customFormat="1" ht="15.75" thickBot="1">
      <c r="A8" s="2929"/>
      <c r="B8" s="2936" t="s">
        <v>531</v>
      </c>
      <c r="C8" s="522" t="s">
        <v>576</v>
      </c>
      <c r="D8" s="517">
        <v>100</v>
      </c>
      <c r="E8" s="522" t="s">
        <v>4215</v>
      </c>
      <c r="F8" s="519">
        <f>SUMIF(61:61,E8,62:62)-SUMIF(61:61,C8,62:62)+100</f>
        <v>100</v>
      </c>
      <c r="G8" s="522" t="s">
        <v>4215</v>
      </c>
      <c r="H8" s="517">
        <f>SUMIF(61:61,G8,62:62)-SUMIF(61:61,C8,62:62)+100</f>
        <v>100</v>
      </c>
      <c r="I8" s="522" t="s">
        <v>4215</v>
      </c>
      <c r="J8" s="517">
        <f>SUMIF(61:61,I8,62:62)-SUMIF(61:61,C8,62:62)+100</f>
        <v>100</v>
      </c>
      <c r="K8" s="521"/>
      <c r="L8" s="2129"/>
      <c r="M8" s="2130"/>
      <c r="N8" s="2130"/>
      <c r="O8" s="2130"/>
      <c r="P8" s="3480" t="s">
        <v>533</v>
      </c>
      <c r="Q8" s="3481"/>
      <c r="R8" s="1562" t="s">
        <v>8</v>
      </c>
      <c r="S8" s="1563">
        <f t="shared" si="0"/>
        <v>100</v>
      </c>
      <c r="T8" s="1562" t="s">
        <v>8</v>
      </c>
      <c r="U8" s="1563">
        <f t="shared" si="1"/>
        <v>100</v>
      </c>
      <c r="V8" s="1562" t="s">
        <v>8</v>
      </c>
      <c r="W8" s="1563">
        <f t="shared" si="2"/>
        <v>100</v>
      </c>
      <c r="X8" s="1564"/>
      <c r="Y8" s="3480" t="s">
        <v>533</v>
      </c>
      <c r="Z8" s="3481"/>
      <c r="AA8" s="1565">
        <f t="shared" ref="AA8:AA46" si="3">D8/F8</f>
        <v>1</v>
      </c>
      <c r="AB8" s="1565">
        <f t="shared" ref="AB8:AB46" si="4">D8/H8</f>
        <v>1</v>
      </c>
      <c r="AC8" s="1565">
        <f t="shared" ref="AC8:AC46" si="5">D8/J8</f>
        <v>1</v>
      </c>
    </row>
    <row r="9" spans="1:29" s="1215" customFormat="1" ht="15">
      <c r="A9" s="2930"/>
      <c r="B9" s="2937" t="s">
        <v>2757</v>
      </c>
      <c r="C9" s="3236" t="s">
        <v>4277</v>
      </c>
      <c r="D9" s="251">
        <v>100</v>
      </c>
      <c r="E9" s="857" t="s">
        <v>2993</v>
      </c>
      <c r="F9" s="251">
        <f>SUMIF(63:63,E9,64:64)-SUMIF(63:63,C9,64:64)+100</f>
        <v>100</v>
      </c>
      <c r="G9" s="855" t="s">
        <v>2993</v>
      </c>
      <c r="H9" s="251">
        <f>SUMIF(63:63,G9,64:64)-SUMIF(63:63,C9,64:64)+100</f>
        <v>100</v>
      </c>
      <c r="I9" s="855" t="s">
        <v>2993</v>
      </c>
      <c r="J9" s="251">
        <f>SUMIF(63:63,I9,64:64)-SUMIF(63:63,C9,64:64)+100</f>
        <v>100</v>
      </c>
      <c r="K9" s="521"/>
      <c r="L9" s="2129"/>
      <c r="M9" s="2130"/>
      <c r="N9" s="2130"/>
      <c r="O9" s="2131"/>
      <c r="P9" s="3488" t="s">
        <v>535</v>
      </c>
      <c r="Q9" s="1146" t="str">
        <f t="shared" ref="Q9:Q15" si="6">B9</f>
        <v>用途</v>
      </c>
      <c r="R9" s="1562" t="s">
        <v>8</v>
      </c>
      <c r="S9" s="1563">
        <f t="shared" si="0"/>
        <v>100</v>
      </c>
      <c r="T9" s="1562" t="s">
        <v>8</v>
      </c>
      <c r="U9" s="1563">
        <f t="shared" si="1"/>
        <v>100</v>
      </c>
      <c r="V9" s="1562" t="s">
        <v>8</v>
      </c>
      <c r="W9" s="1563">
        <f t="shared" si="2"/>
        <v>100</v>
      </c>
      <c r="X9" s="1564"/>
      <c r="Y9" s="3445" t="s">
        <v>536</v>
      </c>
      <c r="Z9" s="1145" t="str">
        <f t="shared" ref="Z9:Z15" si="7">Q9</f>
        <v>用途</v>
      </c>
      <c r="AA9" s="1565">
        <f t="shared" si="3"/>
        <v>1</v>
      </c>
      <c r="AB9" s="1565">
        <f t="shared" si="4"/>
        <v>1</v>
      </c>
      <c r="AC9" s="1565">
        <f t="shared" si="5"/>
        <v>1</v>
      </c>
    </row>
    <row r="10" spans="1:29" s="1333" customFormat="1" ht="27">
      <c r="A10" s="2931"/>
      <c r="B10" s="2936" t="s">
        <v>2758</v>
      </c>
      <c r="C10" s="858" t="s">
        <v>4278</v>
      </c>
      <c r="D10" s="252">
        <v>100</v>
      </c>
      <c r="E10" s="858" t="s">
        <v>4313</v>
      </c>
      <c r="F10" s="252">
        <f>SUMIF(65:65,E10,66:66)-SUMIF(65:65,C10,66:66)+100</f>
        <v>98</v>
      </c>
      <c r="G10" s="859" t="s">
        <v>4313</v>
      </c>
      <c r="H10" s="252">
        <f>SUMIF(65:65,G10,66:66)-SUMIF(65:65,C10,66:66)+100</f>
        <v>98</v>
      </c>
      <c r="I10" s="858" t="s">
        <v>4313</v>
      </c>
      <c r="J10" s="252">
        <f>SUMIF(65:65,I10,66:66)-SUMIF(65:65,C10,66:66)+100</f>
        <v>98</v>
      </c>
      <c r="K10" s="581">
        <v>2</v>
      </c>
      <c r="L10" s="2132"/>
      <c r="M10" s="2172"/>
      <c r="N10" s="2172"/>
      <c r="O10" s="2133"/>
      <c r="P10" s="3488"/>
      <c r="Q10" s="1146" t="str">
        <f t="shared" si="6"/>
        <v>土地使用年限（年）</v>
      </c>
      <c r="R10" s="1562" t="s">
        <v>8</v>
      </c>
      <c r="S10" s="1563">
        <f t="shared" si="0"/>
        <v>98</v>
      </c>
      <c r="T10" s="1562" t="s">
        <v>8</v>
      </c>
      <c r="U10" s="1563">
        <f t="shared" si="1"/>
        <v>98</v>
      </c>
      <c r="V10" s="1562" t="s">
        <v>8</v>
      </c>
      <c r="W10" s="1563">
        <f t="shared" si="2"/>
        <v>98</v>
      </c>
      <c r="X10" s="1564"/>
      <c r="Y10" s="3445"/>
      <c r="Z10" s="1145" t="str">
        <f t="shared" si="7"/>
        <v>土地使用年限（年）</v>
      </c>
      <c r="AA10" s="1565">
        <f t="shared" si="3"/>
        <v>1.0204081632653061</v>
      </c>
      <c r="AB10" s="1565">
        <f t="shared" si="4"/>
        <v>1.0204081632653061</v>
      </c>
      <c r="AC10" s="1565">
        <f t="shared" si="5"/>
        <v>1.0204081632653061</v>
      </c>
    </row>
    <row r="11" spans="1:29" ht="15">
      <c r="A11" s="2932"/>
      <c r="B11" s="2936" t="s">
        <v>2759</v>
      </c>
      <c r="C11" s="530"/>
      <c r="D11" s="252">
        <v>100</v>
      </c>
      <c r="E11" s="530"/>
      <c r="F11" s="252">
        <f>LOOKUP(E11,68:68,69:69)-LOOKUP(C11,68:68,69:69)+100</f>
        <v>100</v>
      </c>
      <c r="G11" s="531"/>
      <c r="H11" s="252">
        <f>LOOKUP(G11,68:68,69:69)-LOOKUP(C11,68:68,69:69)+100</f>
        <v>100</v>
      </c>
      <c r="I11" s="530"/>
      <c r="J11" s="252">
        <f>LOOKUP(I11,68:68,69:69)-LOOKUP(C11,68:68,69:69)+100</f>
        <v>100</v>
      </c>
      <c r="K11" s="581">
        <v>0</v>
      </c>
      <c r="L11" s="2134"/>
      <c r="M11" s="2128"/>
      <c r="N11" s="2128"/>
      <c r="O11" s="2135"/>
      <c r="P11" s="3488"/>
      <c r="Q11" s="1146" t="str">
        <f t="shared" si="6"/>
        <v>容积率</v>
      </c>
      <c r="R11" s="1562" t="s">
        <v>8</v>
      </c>
      <c r="S11" s="1563">
        <f t="shared" si="0"/>
        <v>100</v>
      </c>
      <c r="T11" s="1562" t="s">
        <v>8</v>
      </c>
      <c r="U11" s="1563">
        <f t="shared" si="1"/>
        <v>100</v>
      </c>
      <c r="V11" s="1562" t="s">
        <v>8</v>
      </c>
      <c r="W11" s="1563">
        <f t="shared" si="2"/>
        <v>100</v>
      </c>
      <c r="X11" s="1564"/>
      <c r="Y11" s="3445"/>
      <c r="Z11" s="1145" t="str">
        <f t="shared" si="7"/>
        <v>容积率</v>
      </c>
      <c r="AA11" s="1565">
        <f t="shared" si="3"/>
        <v>1</v>
      </c>
      <c r="AB11" s="1565">
        <f t="shared" si="4"/>
        <v>1</v>
      </c>
      <c r="AC11" s="1565">
        <f t="shared" si="5"/>
        <v>1</v>
      </c>
    </row>
    <row r="12" spans="1:29" s="1215" customFormat="1" ht="15">
      <c r="A12" s="2933"/>
      <c r="B12" s="2939">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488"/>
      <c r="Q12" s="1146">
        <f t="shared" si="6"/>
        <v>111</v>
      </c>
      <c r="R12" s="1562" t="s">
        <v>8</v>
      </c>
      <c r="S12" s="1563">
        <f t="shared" si="0"/>
        <v>100</v>
      </c>
      <c r="T12" s="1562" t="s">
        <v>8</v>
      </c>
      <c r="U12" s="1563">
        <f t="shared" si="1"/>
        <v>100</v>
      </c>
      <c r="V12" s="1562" t="s">
        <v>8</v>
      </c>
      <c r="W12" s="1563">
        <f t="shared" si="2"/>
        <v>100</v>
      </c>
      <c r="X12" s="1564"/>
      <c r="Y12" s="3445"/>
      <c r="Z12" s="1145">
        <f t="shared" si="7"/>
        <v>111</v>
      </c>
      <c r="AA12" s="1565">
        <f>D12/F12</f>
        <v>1</v>
      </c>
      <c r="AB12" s="1565">
        <f>D12/H12</f>
        <v>1</v>
      </c>
      <c r="AC12" s="1565">
        <f>D12/J12</f>
        <v>1</v>
      </c>
    </row>
    <row r="13" spans="1:29" ht="15">
      <c r="A13" s="2933"/>
      <c r="B13" s="2939">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488"/>
      <c r="Q13" s="1146">
        <f t="shared" si="6"/>
        <v>111</v>
      </c>
      <c r="R13" s="1562" t="s">
        <v>8</v>
      </c>
      <c r="S13" s="1563">
        <f t="shared" si="0"/>
        <v>100</v>
      </c>
      <c r="T13" s="1562" t="s">
        <v>8</v>
      </c>
      <c r="U13" s="1563">
        <f t="shared" si="1"/>
        <v>100</v>
      </c>
      <c r="V13" s="1562" t="s">
        <v>8</v>
      </c>
      <c r="W13" s="1563">
        <f t="shared" si="2"/>
        <v>100</v>
      </c>
      <c r="X13" s="1564"/>
      <c r="Y13" s="3445"/>
      <c r="Z13" s="1145">
        <f t="shared" si="7"/>
        <v>111</v>
      </c>
      <c r="AA13" s="1565">
        <f t="shared" si="3"/>
        <v>1</v>
      </c>
      <c r="AB13" s="1565">
        <f t="shared" si="4"/>
        <v>1</v>
      </c>
      <c r="AC13" s="1565">
        <f t="shared" si="5"/>
        <v>1</v>
      </c>
    </row>
    <row r="14" spans="1:29" ht="15.75" thickBot="1">
      <c r="A14" s="2934"/>
      <c r="B14" s="2940">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488"/>
      <c r="Q14" s="1146">
        <f t="shared" si="6"/>
        <v>111</v>
      </c>
      <c r="R14" s="1562" t="s">
        <v>8</v>
      </c>
      <c r="S14" s="1563">
        <f t="shared" si="0"/>
        <v>100</v>
      </c>
      <c r="T14" s="1562" t="s">
        <v>8</v>
      </c>
      <c r="U14" s="1563">
        <f t="shared" si="1"/>
        <v>100</v>
      </c>
      <c r="V14" s="1562" t="s">
        <v>8</v>
      </c>
      <c r="W14" s="1563">
        <f t="shared" si="2"/>
        <v>100</v>
      </c>
      <c r="X14" s="1564"/>
      <c r="Y14" s="3445"/>
      <c r="Z14" s="1145">
        <f t="shared" si="7"/>
        <v>111</v>
      </c>
      <c r="AA14" s="1565">
        <f t="shared" si="3"/>
        <v>1</v>
      </c>
      <c r="AB14" s="1565">
        <f t="shared" si="4"/>
        <v>1</v>
      </c>
      <c r="AC14" s="1565">
        <f t="shared" si="5"/>
        <v>1</v>
      </c>
    </row>
    <row r="15" spans="1:29" ht="28.5">
      <c r="A15" s="2926" t="s">
        <v>2755</v>
      </c>
      <c r="B15" s="165" t="s">
        <v>541</v>
      </c>
      <c r="C15" s="864" t="str">
        <f>估价对象房地状况!C4</f>
        <v>津辰商贸城，一般</v>
      </c>
      <c r="D15" s="546">
        <v>100</v>
      </c>
      <c r="E15" s="547"/>
      <c r="F15" s="548">
        <f>SUMIF(76:76,E16,77:77)-SUMIF(76:76,C16,77:77)+100</f>
        <v>100</v>
      </c>
      <c r="G15" s="549"/>
      <c r="H15" s="546">
        <f>SUMIF(76:76,G16,77:77)-SUMIF(76:76,C16,77:77)+100</f>
        <v>102</v>
      </c>
      <c r="I15" s="547"/>
      <c r="J15" s="546">
        <f>SUMIF(76:76,I16,77:77)-SUMIF(76:76,C16,77:77)+100</f>
        <v>102</v>
      </c>
      <c r="K15" s="895">
        <v>2</v>
      </c>
      <c r="L15" s="2136"/>
      <c r="M15" s="2128"/>
      <c r="N15" s="2128"/>
      <c r="O15" s="2135"/>
      <c r="P15" s="3490" t="s">
        <v>540</v>
      </c>
      <c r="Q15" s="1566" t="str">
        <f t="shared" si="6"/>
        <v>商业繁华度</v>
      </c>
      <c r="R15" s="1567" t="s">
        <v>8</v>
      </c>
      <c r="S15" s="1568">
        <f t="shared" si="0"/>
        <v>100</v>
      </c>
      <c r="T15" s="1567" t="s">
        <v>8</v>
      </c>
      <c r="U15" s="1568">
        <f t="shared" si="1"/>
        <v>102</v>
      </c>
      <c r="V15" s="1567" t="s">
        <v>8</v>
      </c>
      <c r="W15" s="1568">
        <f t="shared" si="2"/>
        <v>102</v>
      </c>
      <c r="X15" s="1561"/>
      <c r="Y15" s="3490" t="s">
        <v>540</v>
      </c>
      <c r="Z15" s="1569" t="str">
        <f t="shared" si="7"/>
        <v>商业繁华度</v>
      </c>
      <c r="AA15" s="1570">
        <f t="shared" si="3"/>
        <v>1</v>
      </c>
      <c r="AB15" s="1570">
        <f t="shared" si="4"/>
        <v>0.98039215686274506</v>
      </c>
      <c r="AC15" s="1570">
        <f t="shared" si="5"/>
        <v>0.98039215686274506</v>
      </c>
    </row>
    <row r="16" spans="1:29" ht="15">
      <c r="A16" s="529"/>
      <c r="B16" s="866"/>
      <c r="C16" s="573" t="s">
        <v>4097</v>
      </c>
      <c r="D16" s="552"/>
      <c r="E16" s="573" t="s">
        <v>4097</v>
      </c>
      <c r="F16" s="554"/>
      <c r="G16" s="573" t="s">
        <v>4095</v>
      </c>
      <c r="H16" s="556"/>
      <c r="I16" s="573" t="s">
        <v>4095</v>
      </c>
      <c r="J16" s="552"/>
      <c r="K16" s="896"/>
      <c r="L16" s="2136"/>
      <c r="M16" s="2128"/>
      <c r="N16" s="2128"/>
      <c r="O16" s="2135"/>
      <c r="P16" s="3491"/>
      <c r="Q16" s="1566"/>
      <c r="R16" s="1567"/>
      <c r="S16" s="1568"/>
      <c r="T16" s="1567"/>
      <c r="U16" s="1568"/>
      <c r="V16" s="1567"/>
      <c r="W16" s="1568"/>
      <c r="X16" s="1561"/>
      <c r="Y16" s="3491"/>
      <c r="Z16" s="1569"/>
      <c r="AA16" s="1570">
        <v>1</v>
      </c>
      <c r="AB16" s="1570">
        <v>1</v>
      </c>
      <c r="AC16" s="1570">
        <v>1</v>
      </c>
    </row>
    <row r="17" spans="1:29" ht="57">
      <c r="A17" s="529"/>
      <c r="B17" s="868" t="s">
        <v>296</v>
      </c>
      <c r="C17" s="869" t="str">
        <f>估价对象房地状况!C6</f>
        <v>750、804、909，路网密度一般，停车便捷程度一般，一般</v>
      </c>
      <c r="D17" s="556">
        <v>100</v>
      </c>
      <c r="E17" s="559"/>
      <c r="F17" s="560">
        <f>SUMIF(78:78,E18,79:79)-SUMIF(78:78,C18,79:79)+100</f>
        <v>102</v>
      </c>
      <c r="G17" s="561"/>
      <c r="H17" s="562">
        <f>SUMIF(78:78,G18,79:79)-SUMIF(78:78,C18,79:79)+100</f>
        <v>102</v>
      </c>
      <c r="I17" s="559"/>
      <c r="J17" s="562">
        <f>SUMIF(78:78,I18,79:79)-SUMIF(78:78,C18,79:79)+100</f>
        <v>102</v>
      </c>
      <c r="K17" s="895">
        <v>2</v>
      </c>
      <c r="L17" s="2136"/>
      <c r="M17" s="2128"/>
      <c r="N17" s="2128"/>
      <c r="O17" s="2135"/>
      <c r="P17" s="3491"/>
      <c r="Q17" s="1566" t="str">
        <f>B17</f>
        <v>交通便捷度</v>
      </c>
      <c r="R17" s="1567" t="s">
        <v>8</v>
      </c>
      <c r="S17" s="1568">
        <f>F17</f>
        <v>102</v>
      </c>
      <c r="T17" s="1567" t="s">
        <v>8</v>
      </c>
      <c r="U17" s="1568">
        <f>H17</f>
        <v>102</v>
      </c>
      <c r="V17" s="1567" t="s">
        <v>8</v>
      </c>
      <c r="W17" s="1568">
        <f>J17</f>
        <v>102</v>
      </c>
      <c r="X17" s="1561"/>
      <c r="Y17" s="3491"/>
      <c r="Z17" s="1569" t="str">
        <f>Q17</f>
        <v>交通便捷度</v>
      </c>
      <c r="AA17" s="1570">
        <f t="shared" si="3"/>
        <v>0.98039215686274506</v>
      </c>
      <c r="AB17" s="1570">
        <f t="shared" si="4"/>
        <v>0.98039215686274506</v>
      </c>
      <c r="AC17" s="1570">
        <f t="shared" si="5"/>
        <v>0.98039215686274506</v>
      </c>
    </row>
    <row r="18" spans="1:29" ht="15">
      <c r="A18" s="529"/>
      <c r="B18" s="592"/>
      <c r="C18" s="870" t="s">
        <v>4097</v>
      </c>
      <c r="D18" s="556"/>
      <c r="E18" s="565" t="s">
        <v>4095</v>
      </c>
      <c r="F18" s="560"/>
      <c r="G18" s="566" t="s">
        <v>4095</v>
      </c>
      <c r="H18" s="552"/>
      <c r="I18" s="565" t="s">
        <v>4095</v>
      </c>
      <c r="J18" s="552"/>
      <c r="K18" s="896"/>
      <c r="L18" s="2136"/>
      <c r="M18" s="2128"/>
      <c r="N18" s="2128"/>
      <c r="O18" s="2135"/>
      <c r="P18" s="3491"/>
      <c r="Q18" s="1566"/>
      <c r="R18" s="1567"/>
      <c r="S18" s="1568"/>
      <c r="T18" s="1567"/>
      <c r="U18" s="1568"/>
      <c r="V18" s="1567"/>
      <c r="W18" s="1568"/>
      <c r="X18" s="1561"/>
      <c r="Y18" s="3491"/>
      <c r="Z18" s="1569"/>
      <c r="AA18" s="1570">
        <v>1</v>
      </c>
      <c r="AB18" s="1570">
        <v>1</v>
      </c>
      <c r="AC18" s="1570">
        <v>1</v>
      </c>
    </row>
    <row r="19" spans="1:29" ht="15">
      <c r="A19" s="529"/>
      <c r="B19" s="2616" t="s">
        <v>2547</v>
      </c>
      <c r="C19" s="869" t="str">
        <f>估价对象房地状况!C7</f>
        <v>较好</v>
      </c>
      <c r="D19" s="562">
        <v>100</v>
      </c>
      <c r="E19" s="567"/>
      <c r="F19" s="568">
        <f>SUMIF(80:80,E20,81:81)-SUMIF(80:80,C20,81:81)+100</f>
        <v>100</v>
      </c>
      <c r="G19" s="569"/>
      <c r="H19" s="556">
        <f>SUMIF(80:80,G20,81:81)-SUMIF(80:80,C20,81:81)+100</f>
        <v>100</v>
      </c>
      <c r="I19" s="567"/>
      <c r="J19" s="556">
        <f>SUMIF(80:80,I20,81:81)-SUMIF(80:80,C20,81:81)+100</f>
        <v>100</v>
      </c>
      <c r="K19" s="895">
        <v>2</v>
      </c>
      <c r="L19" s="2136"/>
      <c r="M19" s="2128"/>
      <c r="N19" s="2128"/>
      <c r="O19" s="2135"/>
      <c r="P19" s="3491"/>
      <c r="Q19" s="1566" t="str">
        <f>B19</f>
        <v>公共配套设施</v>
      </c>
      <c r="R19" s="1567" t="s">
        <v>8</v>
      </c>
      <c r="S19" s="1568">
        <f>F19</f>
        <v>100</v>
      </c>
      <c r="T19" s="1567" t="s">
        <v>8</v>
      </c>
      <c r="U19" s="1568">
        <f>H19</f>
        <v>100</v>
      </c>
      <c r="V19" s="1567" t="s">
        <v>8</v>
      </c>
      <c r="W19" s="1568">
        <f>J19</f>
        <v>100</v>
      </c>
      <c r="X19" s="1561"/>
      <c r="Y19" s="3491"/>
      <c r="Z19" s="1569" t="str">
        <f>Q19</f>
        <v>公共配套设施</v>
      </c>
      <c r="AA19" s="1570">
        <f t="shared" si="3"/>
        <v>1</v>
      </c>
      <c r="AB19" s="1570">
        <f t="shared" si="4"/>
        <v>1</v>
      </c>
      <c r="AC19" s="1570">
        <f t="shared" si="5"/>
        <v>1</v>
      </c>
    </row>
    <row r="20" spans="1:29" ht="15">
      <c r="A20" s="529"/>
      <c r="B20" s="592"/>
      <c r="C20" s="573" t="s">
        <v>4095</v>
      </c>
      <c r="D20" s="552"/>
      <c r="E20" s="553" t="s">
        <v>4095</v>
      </c>
      <c r="F20" s="554"/>
      <c r="G20" s="555" t="s">
        <v>4095</v>
      </c>
      <c r="H20" s="552"/>
      <c r="I20" s="553" t="s">
        <v>4095</v>
      </c>
      <c r="J20" s="552"/>
      <c r="K20" s="896"/>
      <c r="L20" s="2136"/>
      <c r="M20" s="2128"/>
      <c r="N20" s="2128"/>
      <c r="O20" s="2135"/>
      <c r="P20" s="3491"/>
      <c r="Q20" s="1566"/>
      <c r="R20" s="1567"/>
      <c r="S20" s="1568"/>
      <c r="T20" s="1567"/>
      <c r="U20" s="1568"/>
      <c r="V20" s="1567"/>
      <c r="W20" s="1568"/>
      <c r="X20" s="1561"/>
      <c r="Y20" s="3491"/>
      <c r="Z20" s="1569"/>
      <c r="AA20" s="1570">
        <v>1</v>
      </c>
      <c r="AB20" s="1570">
        <v>1</v>
      </c>
      <c r="AC20" s="1570">
        <v>1</v>
      </c>
    </row>
    <row r="21" spans="1:29" ht="15">
      <c r="A21" s="529"/>
      <c r="B21" s="2609" t="s">
        <v>2559</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v>2</v>
      </c>
      <c r="L21" s="2136"/>
      <c r="M21" s="2128"/>
      <c r="N21" s="2128"/>
      <c r="O21" s="2135"/>
      <c r="P21" s="3491"/>
      <c r="Q21" s="2595" t="str">
        <f>B21</f>
        <v>基础设施水平</v>
      </c>
      <c r="R21" s="1567" t="s">
        <v>8</v>
      </c>
      <c r="S21" s="1568">
        <f>F21</f>
        <v>100</v>
      </c>
      <c r="T21" s="1567" t="s">
        <v>8</v>
      </c>
      <c r="U21" s="1568">
        <f>H21</f>
        <v>100</v>
      </c>
      <c r="V21" s="1567" t="s">
        <v>8</v>
      </c>
      <c r="W21" s="1568">
        <f>J21</f>
        <v>100</v>
      </c>
      <c r="X21" s="2597"/>
      <c r="Y21" s="3491"/>
      <c r="Z21" s="2596" t="str">
        <f>Q21</f>
        <v>基础设施水平</v>
      </c>
      <c r="AA21" s="1570">
        <f t="shared" ref="AA21" si="8">D21/F21</f>
        <v>1</v>
      </c>
      <c r="AB21" s="1570">
        <f t="shared" ref="AB21" si="9">D21/H21</f>
        <v>1</v>
      </c>
      <c r="AC21" s="1570">
        <f t="shared" ref="AC21" si="10">D21/J21</f>
        <v>1</v>
      </c>
    </row>
    <row r="22" spans="1:29" ht="15">
      <c r="A22" s="529"/>
      <c r="B22" s="919"/>
      <c r="C22" s="870" t="s">
        <v>4107</v>
      </c>
      <c r="D22" s="552"/>
      <c r="E22" s="573" t="s">
        <v>4107</v>
      </c>
      <c r="F22" s="554"/>
      <c r="G22" s="573" t="s">
        <v>4107</v>
      </c>
      <c r="H22" s="552"/>
      <c r="I22" s="573" t="s">
        <v>4107</v>
      </c>
      <c r="J22" s="552"/>
      <c r="K22" s="2618"/>
      <c r="L22" s="2136"/>
      <c r="M22" s="2128"/>
      <c r="N22" s="2128"/>
      <c r="O22" s="2135"/>
      <c r="P22" s="3491"/>
      <c r="Q22" s="2595"/>
      <c r="R22" s="1567"/>
      <c r="S22" s="1568"/>
      <c r="T22" s="1567"/>
      <c r="U22" s="1568"/>
      <c r="V22" s="1567"/>
      <c r="W22" s="1568"/>
      <c r="X22" s="2597"/>
      <c r="Y22" s="3491"/>
      <c r="Z22" s="2596"/>
      <c r="AA22" s="1570">
        <v>1</v>
      </c>
      <c r="AB22" s="1570">
        <v>1</v>
      </c>
      <c r="AC22" s="1570">
        <v>1</v>
      </c>
    </row>
    <row r="23" spans="1:29" ht="28.5">
      <c r="A23" s="529"/>
      <c r="B23" s="868" t="s">
        <v>297</v>
      </c>
      <c r="C23" s="897" t="str">
        <f>估价对象房地状况!C9</f>
        <v>有公园，无人文，一般</v>
      </c>
      <c r="D23" s="556">
        <v>100</v>
      </c>
      <c r="E23" s="559"/>
      <c r="F23" s="560">
        <f>SUMIF(84:84,E24,85:85)-SUMIF(84:84,C24,85:85)+100</f>
        <v>100</v>
      </c>
      <c r="G23" s="561"/>
      <c r="H23" s="556">
        <f>SUMIF(84:84,G24,85:85)-SUMIF(84:84,C24,85:85)+100</f>
        <v>100</v>
      </c>
      <c r="I23" s="559"/>
      <c r="J23" s="556">
        <f>SUMIF(84:84,I24,85:85)-SUMIF(84:84,C24,85:85)+100</f>
        <v>100</v>
      </c>
      <c r="K23" s="895">
        <v>2</v>
      </c>
      <c r="L23" s="2136"/>
      <c r="M23" s="2128"/>
      <c r="N23" s="2128"/>
      <c r="O23" s="2135"/>
      <c r="P23" s="3491"/>
      <c r="Q23" s="1566" t="str">
        <f>B23</f>
        <v>自然及人文环境</v>
      </c>
      <c r="R23" s="1567" t="s">
        <v>8</v>
      </c>
      <c r="S23" s="1568">
        <f>F23</f>
        <v>100</v>
      </c>
      <c r="T23" s="1567" t="s">
        <v>8</v>
      </c>
      <c r="U23" s="1568">
        <f>H23</f>
        <v>100</v>
      </c>
      <c r="V23" s="1567" t="s">
        <v>8</v>
      </c>
      <c r="W23" s="1568">
        <f>J23</f>
        <v>100</v>
      </c>
      <c r="X23" s="1561"/>
      <c r="Y23" s="3491"/>
      <c r="Z23" s="1569" t="str">
        <f>Q23</f>
        <v>自然及人文环境</v>
      </c>
      <c r="AA23" s="1570">
        <f t="shared" si="3"/>
        <v>1</v>
      </c>
      <c r="AB23" s="1570">
        <f t="shared" si="4"/>
        <v>1</v>
      </c>
      <c r="AC23" s="1570">
        <f t="shared" si="5"/>
        <v>1</v>
      </c>
    </row>
    <row r="24" spans="1:29" ht="15">
      <c r="A24" s="529"/>
      <c r="B24" s="592"/>
      <c r="C24" s="573" t="s">
        <v>4097</v>
      </c>
      <c r="D24" s="552"/>
      <c r="E24" s="553" t="s">
        <v>4097</v>
      </c>
      <c r="F24" s="554"/>
      <c r="G24" s="555" t="s">
        <v>4097</v>
      </c>
      <c r="H24" s="552"/>
      <c r="I24" s="553" t="s">
        <v>4097</v>
      </c>
      <c r="J24" s="552"/>
      <c r="K24" s="896"/>
      <c r="L24" s="2136"/>
      <c r="M24" s="2128"/>
      <c r="N24" s="2128"/>
      <c r="O24" s="2135"/>
      <c r="P24" s="3491"/>
      <c r="Q24" s="1566"/>
      <c r="R24" s="1567"/>
      <c r="S24" s="1568"/>
      <c r="T24" s="1567"/>
      <c r="U24" s="1568"/>
      <c r="V24" s="1567"/>
      <c r="W24" s="1568"/>
      <c r="X24" s="1561"/>
      <c r="Y24" s="3491"/>
      <c r="Z24" s="1569"/>
      <c r="AA24" s="1570">
        <v>1</v>
      </c>
      <c r="AB24" s="1570">
        <v>1</v>
      </c>
      <c r="AC24" s="1570">
        <v>1</v>
      </c>
    </row>
    <row r="25" spans="1:29" ht="15">
      <c r="A25" s="529"/>
      <c r="B25" s="524" t="s">
        <v>547</v>
      </c>
      <c r="C25" s="580" t="s">
        <v>4281</v>
      </c>
      <c r="D25" s="537">
        <v>100</v>
      </c>
      <c r="E25" s="580" t="s">
        <v>4281</v>
      </c>
      <c r="F25" s="572">
        <f>SUMIF(86:86,E25,87:87)-SUMIF(86:86,C25,87:87)+100</f>
        <v>100</v>
      </c>
      <c r="G25" s="580" t="s">
        <v>4281</v>
      </c>
      <c r="H25" s="537">
        <f>SUMIF(86:86,G25,87:87)-SUMIF(86:86,C25,87:87)+100</f>
        <v>100</v>
      </c>
      <c r="I25" s="580" t="s">
        <v>4281</v>
      </c>
      <c r="J25" s="537">
        <f>SUMIF(86:86,I25,87:87)-SUMIF(86:86,C25,87:87)+100</f>
        <v>100</v>
      </c>
      <c r="K25" s="581">
        <v>2</v>
      </c>
      <c r="L25" s="2136"/>
      <c r="M25" s="2128"/>
      <c r="N25" s="2128"/>
      <c r="O25" s="2135"/>
      <c r="P25" s="3491"/>
      <c r="Q25" s="1566" t="str">
        <f t="shared" ref="Q25:Q46" si="11">B25</f>
        <v>临街状况</v>
      </c>
      <c r="R25" s="1567" t="s">
        <v>8</v>
      </c>
      <c r="S25" s="1568">
        <f>F25</f>
        <v>100</v>
      </c>
      <c r="T25" s="1567" t="s">
        <v>8</v>
      </c>
      <c r="U25" s="1568">
        <f>H25</f>
        <v>100</v>
      </c>
      <c r="V25" s="1567" t="s">
        <v>8</v>
      </c>
      <c r="W25" s="1568">
        <f>J25</f>
        <v>100</v>
      </c>
      <c r="X25" s="1561"/>
      <c r="Y25" s="3491"/>
      <c r="Z25" s="1569" t="str">
        <f>Q25</f>
        <v>临街状况</v>
      </c>
      <c r="AA25" s="1570">
        <f t="shared" si="3"/>
        <v>1</v>
      </c>
      <c r="AB25" s="1570">
        <f t="shared" si="4"/>
        <v>1</v>
      </c>
      <c r="AC25" s="1570">
        <f t="shared" si="5"/>
        <v>1</v>
      </c>
    </row>
    <row r="26" spans="1:29" ht="15">
      <c r="A26" s="529"/>
      <c r="B26" s="874" t="s">
        <v>758</v>
      </c>
      <c r="C26" s="3244" t="s">
        <v>4098</v>
      </c>
      <c r="D26" s="537">
        <v>100</v>
      </c>
      <c r="E26" s="3244" t="s">
        <v>4098</v>
      </c>
      <c r="F26" s="572">
        <f>SUMIF(88:88,E26,89:89)-SUMIF(88:88,C26,89:89)+100</f>
        <v>100</v>
      </c>
      <c r="G26" s="3244" t="s">
        <v>4096</v>
      </c>
      <c r="H26" s="537">
        <f>SUMIF(88:88,G26,89:89)-SUMIF(88:88,C26,89:89)+100</f>
        <v>102</v>
      </c>
      <c r="I26" s="3244" t="s">
        <v>4096</v>
      </c>
      <c r="J26" s="537">
        <f>SUMIF(88:88,I26,89:89)-SUMIF(88:88,C26,89:89)+100</f>
        <v>102</v>
      </c>
      <c r="K26" s="578"/>
      <c r="L26" s="2136"/>
      <c r="M26" s="2128"/>
      <c r="N26" s="2128"/>
      <c r="O26" s="2135"/>
      <c r="P26" s="3491"/>
      <c r="Q26" s="1566" t="str">
        <f t="shared" si="11"/>
        <v>平面位置/可视性</v>
      </c>
      <c r="R26" s="1567" t="s">
        <v>8</v>
      </c>
      <c r="S26" s="1568">
        <f>F26</f>
        <v>100</v>
      </c>
      <c r="T26" s="1567" t="s">
        <v>8</v>
      </c>
      <c r="U26" s="1568">
        <f>H26</f>
        <v>102</v>
      </c>
      <c r="V26" s="1567" t="s">
        <v>8</v>
      </c>
      <c r="W26" s="1568">
        <f>J26</f>
        <v>102</v>
      </c>
      <c r="X26" s="1561"/>
      <c r="Y26" s="3491"/>
      <c r="Z26" s="1569" t="str">
        <f>Q26</f>
        <v>平面位置/可视性</v>
      </c>
      <c r="AA26" s="1570">
        <f t="shared" si="3"/>
        <v>1</v>
      </c>
      <c r="AB26" s="1570">
        <f t="shared" si="4"/>
        <v>0.98039215686274506</v>
      </c>
      <c r="AC26" s="1570">
        <f t="shared" si="5"/>
        <v>0.98039215686274506</v>
      </c>
    </row>
    <row r="27" spans="1:29" s="1215" customFormat="1" ht="15">
      <c r="A27" s="533"/>
      <c r="B27" s="868" t="s">
        <v>759</v>
      </c>
      <c r="C27" s="898" t="s">
        <v>4097</v>
      </c>
      <c r="D27" s="872">
        <v>100</v>
      </c>
      <c r="E27" s="898" t="s">
        <v>4097</v>
      </c>
      <c r="F27" s="873">
        <f>SUMIF(90:90,E27,91:91)-SUMIF(90:90,C27,91:91)+100</f>
        <v>100</v>
      </c>
      <c r="G27" s="898" t="s">
        <v>4095</v>
      </c>
      <c r="H27" s="872">
        <f>SUMIF(90:90,G27,91:91)-SUMIF(90:90,C27,91:91)+100</f>
        <v>102</v>
      </c>
      <c r="I27" s="898" t="s">
        <v>4095</v>
      </c>
      <c r="J27" s="872">
        <f>SUMIF(90:90,I27,91:91)-SUMIF(90:90,C27,91:91)+100</f>
        <v>102</v>
      </c>
      <c r="K27" s="581">
        <v>2</v>
      </c>
      <c r="L27" s="2129"/>
      <c r="M27" s="2130"/>
      <c r="N27" s="2130"/>
      <c r="O27" s="2131"/>
      <c r="P27" s="3491"/>
      <c r="Q27" s="1146" t="str">
        <f t="shared" si="11"/>
        <v>人流量</v>
      </c>
      <c r="R27" s="1562" t="s">
        <v>8</v>
      </c>
      <c r="S27" s="1563">
        <f>F27</f>
        <v>100</v>
      </c>
      <c r="T27" s="1562" t="s">
        <v>8</v>
      </c>
      <c r="U27" s="1563">
        <f>H27</f>
        <v>102</v>
      </c>
      <c r="V27" s="1562" t="s">
        <v>8</v>
      </c>
      <c r="W27" s="1563">
        <f>J27</f>
        <v>102</v>
      </c>
      <c r="X27" s="1564"/>
      <c r="Y27" s="3491"/>
      <c r="Z27" s="1145" t="str">
        <f>Q27</f>
        <v>人流量</v>
      </c>
      <c r="AA27" s="1570">
        <f>D27/F27</f>
        <v>1</v>
      </c>
      <c r="AB27" s="1570">
        <f>D27/H27</f>
        <v>0.98039215686274506</v>
      </c>
      <c r="AC27" s="1570">
        <f>D27/J27</f>
        <v>0.98039215686274506</v>
      </c>
    </row>
    <row r="28" spans="1:29" ht="15">
      <c r="A28" s="529"/>
      <c r="B28" s="524" t="s">
        <v>761</v>
      </c>
      <c r="C28" s="580" t="s">
        <v>4312</v>
      </c>
      <c r="D28" s="537">
        <v>100</v>
      </c>
      <c r="E28" s="580" t="s">
        <v>4312</v>
      </c>
      <c r="F28" s="572">
        <f>SUMIF(92:92,E28,93:93)-SUMIF(92:92,C28,93:93)+100</f>
        <v>100</v>
      </c>
      <c r="G28" s="580" t="s">
        <v>4312</v>
      </c>
      <c r="H28" s="537">
        <f>SUMIF(92:92,G28,93:93)-SUMIF(92:92,C28,93:93)+100</f>
        <v>100</v>
      </c>
      <c r="I28" s="580" t="s">
        <v>4312</v>
      </c>
      <c r="J28" s="537">
        <f>SUMIF(92:92,I28,93:93)-SUMIF(92:92,C28,93:93)+100</f>
        <v>100</v>
      </c>
      <c r="K28" s="578"/>
      <c r="L28" s="2136"/>
      <c r="M28" s="2128"/>
      <c r="N28" s="2128"/>
      <c r="O28" s="2135"/>
      <c r="P28" s="3491"/>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91"/>
      <c r="Z28" s="1569" t="str">
        <f t="shared" ref="Z28:Z46" si="15">Q28</f>
        <v>楼层</v>
      </c>
      <c r="AA28" s="1570">
        <f t="shared" si="3"/>
        <v>1</v>
      </c>
      <c r="AB28" s="1570">
        <f t="shared" si="4"/>
        <v>1</v>
      </c>
      <c r="AC28" s="157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491"/>
      <c r="Q29" s="1566">
        <f t="shared" si="11"/>
        <v>111</v>
      </c>
      <c r="R29" s="1567" t="s">
        <v>8</v>
      </c>
      <c r="S29" s="1568">
        <f t="shared" si="12"/>
        <v>100</v>
      </c>
      <c r="T29" s="1567" t="s">
        <v>8</v>
      </c>
      <c r="U29" s="1568">
        <f t="shared" si="13"/>
        <v>100</v>
      </c>
      <c r="V29" s="1567" t="s">
        <v>8</v>
      </c>
      <c r="W29" s="1568">
        <f t="shared" si="14"/>
        <v>100</v>
      </c>
      <c r="X29" s="1561"/>
      <c r="Y29" s="3491"/>
      <c r="Z29" s="1569">
        <f t="shared" si="15"/>
        <v>111</v>
      </c>
      <c r="AA29" s="1570">
        <f t="shared" si="3"/>
        <v>1</v>
      </c>
      <c r="AB29" s="1570">
        <f t="shared" si="4"/>
        <v>1</v>
      </c>
      <c r="AC29" s="157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491"/>
      <c r="Q30" s="1566">
        <f t="shared" si="11"/>
        <v>111</v>
      </c>
      <c r="R30" s="1567" t="s">
        <v>8</v>
      </c>
      <c r="S30" s="1568">
        <f t="shared" si="12"/>
        <v>100</v>
      </c>
      <c r="T30" s="1567" t="s">
        <v>8</v>
      </c>
      <c r="U30" s="1568">
        <f t="shared" si="13"/>
        <v>100</v>
      </c>
      <c r="V30" s="1567" t="s">
        <v>8</v>
      </c>
      <c r="W30" s="1568">
        <f t="shared" si="14"/>
        <v>100</v>
      </c>
      <c r="X30" s="1561"/>
      <c r="Y30" s="3491"/>
      <c r="Z30" s="1569">
        <f t="shared" si="15"/>
        <v>111</v>
      </c>
      <c r="AA30" s="1570">
        <f t="shared" si="3"/>
        <v>1</v>
      </c>
      <c r="AB30" s="1570">
        <f t="shared" si="4"/>
        <v>1</v>
      </c>
      <c r="AC30" s="157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491"/>
      <c r="Q31" s="1566">
        <f t="shared" si="11"/>
        <v>111</v>
      </c>
      <c r="R31" s="1567" t="s">
        <v>8</v>
      </c>
      <c r="S31" s="1568">
        <f t="shared" si="12"/>
        <v>100</v>
      </c>
      <c r="T31" s="1567" t="s">
        <v>8</v>
      </c>
      <c r="U31" s="1568">
        <f t="shared" si="13"/>
        <v>100</v>
      </c>
      <c r="V31" s="1567" t="s">
        <v>8</v>
      </c>
      <c r="W31" s="1568">
        <f t="shared" si="14"/>
        <v>100</v>
      </c>
      <c r="X31" s="1561"/>
      <c r="Y31" s="3491"/>
      <c r="Z31" s="1569">
        <f t="shared" si="15"/>
        <v>111</v>
      </c>
      <c r="AA31" s="1570">
        <f t="shared" si="3"/>
        <v>1</v>
      </c>
      <c r="AB31" s="1570">
        <f t="shared" si="4"/>
        <v>1</v>
      </c>
      <c r="AC31" s="1570">
        <f t="shared" si="5"/>
        <v>1</v>
      </c>
    </row>
    <row r="32" spans="1:29" ht="15">
      <c r="A32" s="2923" t="s">
        <v>2756</v>
      </c>
      <c r="B32" s="171" t="s">
        <v>762</v>
      </c>
      <c r="C32" s="875" t="s">
        <v>4290</v>
      </c>
      <c r="D32" s="594">
        <v>100</v>
      </c>
      <c r="E32" s="875" t="s">
        <v>4290</v>
      </c>
      <c r="F32" s="572">
        <f>SUMIF(100:100,E32,101:101)-SUMIF(100:100,C32,101:101)+100</f>
        <v>100</v>
      </c>
      <c r="G32" s="875" t="s">
        <v>4287</v>
      </c>
      <c r="H32" s="537">
        <f>SUMIF(100:100,G32,101:101)-SUMIF(100:100,C32,101:101)+100</f>
        <v>106</v>
      </c>
      <c r="I32" s="875" t="s">
        <v>4287</v>
      </c>
      <c r="J32" s="594">
        <f>SUMIF(100:100,I32,101:101)-SUMIF(100:100,C32,101:101)+100</f>
        <v>106</v>
      </c>
      <c r="K32" s="581">
        <v>3</v>
      </c>
      <c r="L32" s="2136"/>
      <c r="M32" s="2128"/>
      <c r="N32" s="2128"/>
      <c r="O32" s="2135"/>
      <c r="P32" s="3492" t="s">
        <v>550</v>
      </c>
      <c r="Q32" s="1566" t="str">
        <f t="shared" si="11"/>
        <v>商业类型</v>
      </c>
      <c r="R32" s="1567" t="s">
        <v>8</v>
      </c>
      <c r="S32" s="1568">
        <f t="shared" si="12"/>
        <v>100</v>
      </c>
      <c r="T32" s="1567" t="s">
        <v>8</v>
      </c>
      <c r="U32" s="1568">
        <f t="shared" si="13"/>
        <v>106</v>
      </c>
      <c r="V32" s="1567" t="s">
        <v>8</v>
      </c>
      <c r="W32" s="1568">
        <f t="shared" si="14"/>
        <v>106</v>
      </c>
      <c r="X32" s="1561"/>
      <c r="Y32" s="3493" t="s">
        <v>550</v>
      </c>
      <c r="Z32" s="1569" t="str">
        <f t="shared" si="15"/>
        <v>商业类型</v>
      </c>
      <c r="AA32" s="1570">
        <f t="shared" si="3"/>
        <v>1</v>
      </c>
      <c r="AB32" s="1570">
        <f t="shared" si="4"/>
        <v>0.94339622641509435</v>
      </c>
      <c r="AC32" s="1570">
        <f t="shared" si="5"/>
        <v>0.94339622641509435</v>
      </c>
    </row>
    <row r="33" spans="1:29" s="1334" customFormat="1" ht="15">
      <c r="A33" s="600"/>
      <c r="B33" s="524" t="s">
        <v>726</v>
      </c>
      <c r="C33" s="877">
        <f>ROUND(已售汇总!I3/2,2)</f>
        <v>711.2</v>
      </c>
      <c r="D33" s="252">
        <v>100</v>
      </c>
      <c r="E33" s="531">
        <v>230</v>
      </c>
      <c r="F33" s="860">
        <f>LOOKUP(E33,103:103,104:104)-LOOKUP(C33,103:103,104:104)+100</f>
        <v>101</v>
      </c>
      <c r="G33" s="530">
        <v>80</v>
      </c>
      <c r="H33" s="252">
        <f>LOOKUP(G33,103:103,104:104)-LOOKUP(C33,103:103,104:104)+100</f>
        <v>103</v>
      </c>
      <c r="I33" s="530">
        <v>45</v>
      </c>
      <c r="J33" s="252">
        <f>LOOKUP(I33,103:103,104:104)-LOOKUP(C33,103:103,104:104)+100</f>
        <v>103</v>
      </c>
      <c r="K33" s="578"/>
      <c r="L33" s="2134"/>
      <c r="M33" s="2165"/>
      <c r="N33" s="2165"/>
      <c r="O33" s="2137"/>
      <c r="P33" s="3493"/>
      <c r="Q33" s="1599" t="str">
        <f t="shared" si="11"/>
        <v>项目建筑规模</v>
      </c>
      <c r="R33" s="1571" t="s">
        <v>8</v>
      </c>
      <c r="S33" s="1572">
        <f t="shared" si="12"/>
        <v>101</v>
      </c>
      <c r="T33" s="1571" t="s">
        <v>8</v>
      </c>
      <c r="U33" s="1572">
        <f t="shared" si="13"/>
        <v>103</v>
      </c>
      <c r="V33" s="1571" t="s">
        <v>8</v>
      </c>
      <c r="W33" s="1572">
        <f t="shared" si="14"/>
        <v>103</v>
      </c>
      <c r="X33" s="1573"/>
      <c r="Y33" s="3493"/>
      <c r="Z33" s="1574" t="str">
        <f t="shared" si="15"/>
        <v>项目建筑规模</v>
      </c>
      <c r="AA33" s="1570">
        <f t="shared" si="3"/>
        <v>0.99009900990099009</v>
      </c>
      <c r="AB33" s="1570">
        <f t="shared" si="4"/>
        <v>0.970873786407767</v>
      </c>
      <c r="AC33" s="1570">
        <f t="shared" si="5"/>
        <v>0.970873786407767</v>
      </c>
    </row>
    <row r="34" spans="1:29" ht="15">
      <c r="A34" s="591"/>
      <c r="B34" s="524" t="s">
        <v>727</v>
      </c>
      <c r="C34" s="878" t="s">
        <v>4234</v>
      </c>
      <c r="D34" s="537">
        <v>100</v>
      </c>
      <c r="E34" s="879" t="s">
        <v>4234</v>
      </c>
      <c r="F34" s="572">
        <f>SUMIF(105:105,E34,106:106)-SUMIF(105:105,C34,106:106)+100</f>
        <v>100</v>
      </c>
      <c r="G34" s="878" t="s">
        <v>4234</v>
      </c>
      <c r="H34" s="537">
        <f>SUMIF(105:105,G34,106:106)-SUMIF(105:105,C34,106:106)+100</f>
        <v>100</v>
      </c>
      <c r="I34" s="878" t="s">
        <v>4234</v>
      </c>
      <c r="J34" s="537">
        <f>SUMIF(105:105,I34,106:106)-SUMIF(105:105,C34,106:106)+100</f>
        <v>100</v>
      </c>
      <c r="K34" s="581">
        <v>2</v>
      </c>
      <c r="L34" s="2136"/>
      <c r="M34" s="2128"/>
      <c r="N34" s="2128"/>
      <c r="O34" s="2135"/>
      <c r="P34" s="3493"/>
      <c r="Q34" s="1566" t="str">
        <f t="shared" si="11"/>
        <v>建筑结构</v>
      </c>
      <c r="R34" s="1567" t="s">
        <v>8</v>
      </c>
      <c r="S34" s="1568">
        <f t="shared" si="12"/>
        <v>100</v>
      </c>
      <c r="T34" s="1567" t="s">
        <v>8</v>
      </c>
      <c r="U34" s="1568">
        <f t="shared" si="13"/>
        <v>100</v>
      </c>
      <c r="V34" s="1567" t="s">
        <v>8</v>
      </c>
      <c r="W34" s="1568">
        <f t="shared" si="14"/>
        <v>100</v>
      </c>
      <c r="X34" s="1561"/>
      <c r="Y34" s="3493"/>
      <c r="Z34" s="1569" t="str">
        <f t="shared" si="15"/>
        <v>建筑结构</v>
      </c>
      <c r="AA34" s="1570">
        <f t="shared" si="3"/>
        <v>1</v>
      </c>
      <c r="AB34" s="1570">
        <f t="shared" si="4"/>
        <v>1</v>
      </c>
      <c r="AC34" s="1570">
        <f t="shared" si="5"/>
        <v>1</v>
      </c>
    </row>
    <row r="35" spans="1:29" ht="15">
      <c r="A35" s="591"/>
      <c r="B35" s="524" t="s">
        <v>763</v>
      </c>
      <c r="C35" s="596" t="s">
        <v>4240</v>
      </c>
      <c r="D35" s="537">
        <v>100</v>
      </c>
      <c r="E35" s="596" t="s">
        <v>4240</v>
      </c>
      <c r="F35" s="572">
        <f>SUMIF(107:107,E35,108:108)-SUMIF(107:107,C35,108:108)+100</f>
        <v>100</v>
      </c>
      <c r="G35" s="596" t="s">
        <v>4240</v>
      </c>
      <c r="H35" s="537">
        <f>SUMIF(107:107,G35,108:108)-SUMIF(107:107,C35,108:108)+100</f>
        <v>100</v>
      </c>
      <c r="I35" s="596" t="s">
        <v>4240</v>
      </c>
      <c r="J35" s="537">
        <f>SUMIF(107:107,I35,108:108)-SUMIF(107:107,C35,108:108)+100</f>
        <v>100</v>
      </c>
      <c r="K35" s="581">
        <v>2</v>
      </c>
      <c r="L35" s="2136"/>
      <c r="M35" s="2128"/>
      <c r="N35" s="2128"/>
      <c r="O35" s="2135"/>
      <c r="P35" s="3493"/>
      <c r="Q35" s="1566" t="str">
        <f t="shared" si="11"/>
        <v>公共部分装修</v>
      </c>
      <c r="R35" s="1567" t="s">
        <v>8</v>
      </c>
      <c r="S35" s="1568">
        <f t="shared" si="12"/>
        <v>100</v>
      </c>
      <c r="T35" s="1567" t="s">
        <v>8</v>
      </c>
      <c r="U35" s="1568">
        <f t="shared" si="13"/>
        <v>100</v>
      </c>
      <c r="V35" s="1567" t="s">
        <v>8</v>
      </c>
      <c r="W35" s="1568">
        <f t="shared" si="14"/>
        <v>100</v>
      </c>
      <c r="X35" s="1561"/>
      <c r="Y35" s="3493"/>
      <c r="Z35" s="1569" t="str">
        <f t="shared" si="15"/>
        <v>公共部分装修</v>
      </c>
      <c r="AA35" s="1570">
        <f t="shared" si="3"/>
        <v>1</v>
      </c>
      <c r="AB35" s="1570">
        <f t="shared" si="4"/>
        <v>1</v>
      </c>
      <c r="AC35" s="1570">
        <f t="shared" si="5"/>
        <v>1</v>
      </c>
    </row>
    <row r="36" spans="1:29" ht="15">
      <c r="A36" s="591"/>
      <c r="B36" s="524" t="s">
        <v>764</v>
      </c>
      <c r="C36" s="880">
        <v>1</v>
      </c>
      <c r="D36" s="537">
        <v>100</v>
      </c>
      <c r="E36" s="880">
        <f>ROUND(1-(2018-2007)/60,2)</f>
        <v>0.82</v>
      </c>
      <c r="F36" s="572">
        <f>LOOKUP(E36,110:110,111:111)-LOOKUP(C36,110:110,111:111)+100</f>
        <v>98</v>
      </c>
      <c r="G36" s="880">
        <v>0.8</v>
      </c>
      <c r="H36" s="572">
        <f>LOOKUP(G36,110:110,111:111)-LOOKUP(C36,110:110,111:111)+100</f>
        <v>98</v>
      </c>
      <c r="I36" s="880">
        <v>0.8</v>
      </c>
      <c r="J36" s="537">
        <f>LOOKUP(I36,110:110,111:111)-LOOKUP(C36,110:110,111:111)+100</f>
        <v>98</v>
      </c>
      <c r="K36" s="581">
        <v>2</v>
      </c>
      <c r="L36" s="2136"/>
      <c r="M36" s="2128"/>
      <c r="N36" s="2128"/>
      <c r="O36" s="2135"/>
      <c r="P36" s="3493"/>
      <c r="Q36" s="1566" t="str">
        <f t="shared" si="11"/>
        <v>成新度</v>
      </c>
      <c r="R36" s="1567" t="s">
        <v>8</v>
      </c>
      <c r="S36" s="1568">
        <f t="shared" si="12"/>
        <v>98</v>
      </c>
      <c r="T36" s="1567" t="s">
        <v>8</v>
      </c>
      <c r="U36" s="1568">
        <f t="shared" si="13"/>
        <v>98</v>
      </c>
      <c r="V36" s="1567" t="s">
        <v>8</v>
      </c>
      <c r="W36" s="1568">
        <f t="shared" si="14"/>
        <v>98</v>
      </c>
      <c r="X36" s="1561"/>
      <c r="Y36" s="3493"/>
      <c r="Z36" s="1569" t="str">
        <f t="shared" si="15"/>
        <v>成新度</v>
      </c>
      <c r="AA36" s="1570">
        <f t="shared" si="3"/>
        <v>1.0204081632653061</v>
      </c>
      <c r="AB36" s="1570">
        <f t="shared" si="4"/>
        <v>1.0204081632653061</v>
      </c>
      <c r="AC36" s="1570">
        <f t="shared" si="5"/>
        <v>1.0204081632653061</v>
      </c>
    </row>
    <row r="37" spans="1:29" s="1215" customFormat="1" ht="15">
      <c r="A37" s="597"/>
      <c r="B37" s="1889" t="s">
        <v>2566</v>
      </c>
      <c r="C37" s="596" t="s">
        <v>4107</v>
      </c>
      <c r="D37" s="252">
        <v>100</v>
      </c>
      <c r="E37" s="596" t="s">
        <v>4107</v>
      </c>
      <c r="F37" s="572">
        <f>SUMIF(112:112,E37,113:113)-SUMIF(112:112,C37,113:113)+100</f>
        <v>100</v>
      </c>
      <c r="G37" s="596" t="s">
        <v>4257</v>
      </c>
      <c r="H37" s="537">
        <f>SUMIF(112:112,G37,113:113)-SUMIF(112:112,C37,113:113)+100</f>
        <v>96</v>
      </c>
      <c r="I37" s="596" t="s">
        <v>4257</v>
      </c>
      <c r="J37" s="537">
        <f>SUMIF(112:112,I37,113:113)-SUMIF(112:112,C37,113:113)+100</f>
        <v>96</v>
      </c>
      <c r="K37" s="581">
        <v>2</v>
      </c>
      <c r="L37" s="2129"/>
      <c r="M37" s="2130"/>
      <c r="N37" s="2130"/>
      <c r="O37" s="2131"/>
      <c r="P37" s="3493"/>
      <c r="Q37" s="1146" t="str">
        <f t="shared" si="11"/>
        <v>市政基础设施</v>
      </c>
      <c r="R37" s="1562" t="s">
        <v>8</v>
      </c>
      <c r="S37" s="1563">
        <f t="shared" si="12"/>
        <v>100</v>
      </c>
      <c r="T37" s="1562" t="s">
        <v>8</v>
      </c>
      <c r="U37" s="1563">
        <f t="shared" si="13"/>
        <v>96</v>
      </c>
      <c r="V37" s="1562" t="s">
        <v>8</v>
      </c>
      <c r="W37" s="1563">
        <f t="shared" si="14"/>
        <v>96</v>
      </c>
      <c r="X37" s="1564"/>
      <c r="Y37" s="3493"/>
      <c r="Z37" s="1145" t="str">
        <f t="shared" si="15"/>
        <v>市政基础设施</v>
      </c>
      <c r="AA37" s="1565">
        <f t="shared" si="3"/>
        <v>1</v>
      </c>
      <c r="AB37" s="1565">
        <f t="shared" si="4"/>
        <v>1.0416666666666667</v>
      </c>
      <c r="AC37" s="1565">
        <f t="shared" si="5"/>
        <v>1.0416666666666667</v>
      </c>
    </row>
    <row r="38" spans="1:29" ht="15">
      <c r="A38" s="591"/>
      <c r="B38" s="524" t="s">
        <v>765</v>
      </c>
      <c r="C38" s="596" t="s">
        <v>4304</v>
      </c>
      <c r="D38" s="537">
        <v>100</v>
      </c>
      <c r="E38" s="596" t="s">
        <v>4304</v>
      </c>
      <c r="F38" s="572">
        <f>SUMIF(114:114,E38,115:115)-SUMIF(114:114,C38,115:115)+100</f>
        <v>100</v>
      </c>
      <c r="G38" s="596" t="s">
        <v>4306</v>
      </c>
      <c r="H38" s="537">
        <f>SUMIF(114:114,G38,115:115)-SUMIF(114:114,C38,115:115)+100</f>
        <v>98</v>
      </c>
      <c r="I38" s="596" t="s">
        <v>4306</v>
      </c>
      <c r="J38" s="537">
        <f>SUMIF(114:114,I38,115:115)-SUMIF(114:114,C38,115:115)+100</f>
        <v>98</v>
      </c>
      <c r="K38" s="581">
        <v>2</v>
      </c>
      <c r="L38" s="2136"/>
      <c r="M38" s="2128"/>
      <c r="N38" s="2128"/>
      <c r="O38" s="2135"/>
      <c r="P38" s="3493" t="s">
        <v>766</v>
      </c>
      <c r="Q38" s="1566" t="str">
        <f t="shared" si="11"/>
        <v>业态</v>
      </c>
      <c r="R38" s="1567" t="s">
        <v>8</v>
      </c>
      <c r="S38" s="1568">
        <f t="shared" si="12"/>
        <v>100</v>
      </c>
      <c r="T38" s="1567" t="s">
        <v>8</v>
      </c>
      <c r="U38" s="1568">
        <f t="shared" si="13"/>
        <v>98</v>
      </c>
      <c r="V38" s="1567" t="s">
        <v>8</v>
      </c>
      <c r="W38" s="1568">
        <f t="shared" si="14"/>
        <v>98</v>
      </c>
      <c r="X38" s="1561"/>
      <c r="Y38" s="3493" t="s">
        <v>766</v>
      </c>
      <c r="Z38" s="1569" t="str">
        <f t="shared" si="15"/>
        <v>业态</v>
      </c>
      <c r="AA38" s="1570">
        <f t="shared" si="3"/>
        <v>1</v>
      </c>
      <c r="AB38" s="1570">
        <f t="shared" si="4"/>
        <v>1.0204081632653061</v>
      </c>
      <c r="AC38" s="1570">
        <f t="shared" si="5"/>
        <v>1.0204081632653061</v>
      </c>
    </row>
    <row r="39" spans="1:29" ht="15">
      <c r="A39" s="591"/>
      <c r="B39" s="524" t="s">
        <v>767</v>
      </c>
      <c r="C39" s="596" t="s">
        <v>4309</v>
      </c>
      <c r="D39" s="537">
        <v>100</v>
      </c>
      <c r="E39" s="596" t="s">
        <v>4309</v>
      </c>
      <c r="F39" s="572">
        <f>SUMIF(116:116,E39,117:117)-SUMIF(116:116,C39,117:117)+100</f>
        <v>100</v>
      </c>
      <c r="G39" s="596" t="s">
        <v>4309</v>
      </c>
      <c r="H39" s="537">
        <f>SUMIF(116:116,G39,117:117)-SUMIF(116:116,C39,117:117)+100</f>
        <v>100</v>
      </c>
      <c r="I39" s="596" t="s">
        <v>4309</v>
      </c>
      <c r="J39" s="537">
        <f>SUMIF(116:116,I39,117:117)-SUMIF(116:116,C39,117:117)+100</f>
        <v>100</v>
      </c>
      <c r="K39" s="581">
        <v>2</v>
      </c>
      <c r="L39" s="2136"/>
      <c r="M39" s="2128"/>
      <c r="N39" s="2128"/>
      <c r="O39" s="2135"/>
      <c r="P39" s="3493"/>
      <c r="Q39" s="1566" t="str">
        <f t="shared" si="11"/>
        <v>层高</v>
      </c>
      <c r="R39" s="1567" t="s">
        <v>8</v>
      </c>
      <c r="S39" s="1568">
        <f t="shared" si="12"/>
        <v>100</v>
      </c>
      <c r="T39" s="1567" t="s">
        <v>8</v>
      </c>
      <c r="U39" s="1568">
        <f t="shared" si="13"/>
        <v>100</v>
      </c>
      <c r="V39" s="1567" t="s">
        <v>8</v>
      </c>
      <c r="W39" s="1568">
        <f t="shared" si="14"/>
        <v>100</v>
      </c>
      <c r="X39" s="1561"/>
      <c r="Y39" s="3493"/>
      <c r="Z39" s="1569" t="str">
        <f t="shared" si="15"/>
        <v>层高</v>
      </c>
      <c r="AA39" s="1570">
        <f t="shared" si="3"/>
        <v>1</v>
      </c>
      <c r="AB39" s="1570">
        <f t="shared" si="4"/>
        <v>1</v>
      </c>
      <c r="AC39" s="1570">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493"/>
      <c r="Q40" s="1566" t="str">
        <f t="shared" si="11"/>
        <v>单套建筑面积</v>
      </c>
      <c r="R40" s="1567" t="s">
        <v>8</v>
      </c>
      <c r="S40" s="1568">
        <f t="shared" si="12"/>
        <v>100</v>
      </c>
      <c r="T40" s="1567" t="s">
        <v>8</v>
      </c>
      <c r="U40" s="1568">
        <f t="shared" si="13"/>
        <v>100</v>
      </c>
      <c r="V40" s="1567" t="s">
        <v>8</v>
      </c>
      <c r="W40" s="1568">
        <f t="shared" si="14"/>
        <v>100</v>
      </c>
      <c r="X40" s="1561"/>
      <c r="Y40" s="3493"/>
      <c r="Z40" s="1569" t="str">
        <f t="shared" si="15"/>
        <v>单套建筑面积</v>
      </c>
      <c r="AA40" s="1570">
        <f t="shared" si="3"/>
        <v>1</v>
      </c>
      <c r="AB40" s="1570">
        <f t="shared" si="4"/>
        <v>1</v>
      </c>
      <c r="AC40" s="1570">
        <f t="shared" si="5"/>
        <v>1</v>
      </c>
    </row>
    <row r="41" spans="1:29" s="1334" customFormat="1" ht="15">
      <c r="A41" s="600"/>
      <c r="B41" s="901" t="s">
        <v>769</v>
      </c>
      <c r="C41" s="580" t="s">
        <v>4084</v>
      </c>
      <c r="D41" s="537">
        <v>100</v>
      </c>
      <c r="E41" s="580" t="s">
        <v>4084</v>
      </c>
      <c r="F41" s="572">
        <f>SUMIF(120:120,E41,121:121)-SUMIF(120:120,C41,121:121)+100</f>
        <v>100</v>
      </c>
      <c r="G41" s="580" t="s">
        <v>4084</v>
      </c>
      <c r="H41" s="537">
        <f>SUMIF(120:120,G41,121:121)-SUMIF(120:120,C41,121:121)+100</f>
        <v>100</v>
      </c>
      <c r="I41" s="580" t="s">
        <v>4084</v>
      </c>
      <c r="J41" s="537">
        <f>SUMIF(120:120,I41,121:121)-SUMIF(120:120,C41,121:121)+100</f>
        <v>100</v>
      </c>
      <c r="K41" s="581">
        <v>2</v>
      </c>
      <c r="L41" s="2134"/>
      <c r="M41" s="2165"/>
      <c r="N41" s="2165"/>
      <c r="O41" s="2137"/>
      <c r="P41" s="3493"/>
      <c r="Q41" s="1599" t="str">
        <f t="shared" si="11"/>
        <v>进深比</v>
      </c>
      <c r="R41" s="1571" t="s">
        <v>8</v>
      </c>
      <c r="S41" s="1572">
        <f t="shared" si="12"/>
        <v>100</v>
      </c>
      <c r="T41" s="1571" t="s">
        <v>8</v>
      </c>
      <c r="U41" s="1572">
        <f t="shared" si="13"/>
        <v>100</v>
      </c>
      <c r="V41" s="1571" t="s">
        <v>8</v>
      </c>
      <c r="W41" s="1572">
        <f t="shared" si="14"/>
        <v>100</v>
      </c>
      <c r="X41" s="1573"/>
      <c r="Y41" s="3493"/>
      <c r="Z41" s="1574" t="str">
        <f t="shared" si="15"/>
        <v>进深比</v>
      </c>
      <c r="AA41" s="1570">
        <f t="shared" si="3"/>
        <v>1</v>
      </c>
      <c r="AB41" s="1570">
        <f t="shared" si="4"/>
        <v>1</v>
      </c>
      <c r="AC41" s="1570">
        <f t="shared" si="5"/>
        <v>1</v>
      </c>
    </row>
    <row r="42" spans="1:29" ht="15">
      <c r="A42" s="591"/>
      <c r="B42" s="524" t="s">
        <v>770</v>
      </c>
      <c r="C42" s="596" t="s">
        <v>4245</v>
      </c>
      <c r="D42" s="537">
        <v>100</v>
      </c>
      <c r="E42" s="596" t="s">
        <v>4240</v>
      </c>
      <c r="F42" s="572">
        <f>SUMIF(122:122,E42,123:123)-SUMIF(122:122,C42,123:123)+100</f>
        <v>106</v>
      </c>
      <c r="G42" s="596" t="s">
        <v>4243</v>
      </c>
      <c r="H42" s="537">
        <f>SUMIF(122:122,G42,123:123)-SUMIF(122:122,C42,123:123)+100</f>
        <v>102</v>
      </c>
      <c r="I42" s="596" t="s">
        <v>4243</v>
      </c>
      <c r="J42" s="537">
        <f>SUMIF(122:122,I42,123:123)-SUMIF(122:122,C42,123:123)+100</f>
        <v>102</v>
      </c>
      <c r="K42" s="581">
        <v>2</v>
      </c>
      <c r="L42" s="2136"/>
      <c r="M42" s="2128"/>
      <c r="N42" s="2128"/>
      <c r="O42" s="2135"/>
      <c r="P42" s="3493"/>
      <c r="Q42" s="1566" t="str">
        <f t="shared" si="11"/>
        <v>内部装修</v>
      </c>
      <c r="R42" s="1567" t="s">
        <v>8</v>
      </c>
      <c r="S42" s="1568">
        <f t="shared" si="12"/>
        <v>106</v>
      </c>
      <c r="T42" s="1567" t="s">
        <v>8</v>
      </c>
      <c r="U42" s="1568">
        <f t="shared" si="13"/>
        <v>102</v>
      </c>
      <c r="V42" s="1567" t="s">
        <v>8</v>
      </c>
      <c r="W42" s="1568">
        <f t="shared" si="14"/>
        <v>102</v>
      </c>
      <c r="X42" s="1561"/>
      <c r="Y42" s="3493"/>
      <c r="Z42" s="1569" t="str">
        <f t="shared" si="15"/>
        <v>内部装修</v>
      </c>
      <c r="AA42" s="1570">
        <f t="shared" si="3"/>
        <v>0.94339622641509435</v>
      </c>
      <c r="AB42" s="1570">
        <f t="shared" si="4"/>
        <v>0.98039215686274506</v>
      </c>
      <c r="AC42" s="1570">
        <f t="shared" si="5"/>
        <v>0.98039215686274506</v>
      </c>
    </row>
    <row r="43" spans="1:29" ht="27">
      <c r="A43" s="591"/>
      <c r="B43" s="524" t="s">
        <v>735</v>
      </c>
      <c r="C43" s="596" t="s">
        <v>4095</v>
      </c>
      <c r="D43" s="537">
        <v>100</v>
      </c>
      <c r="E43" s="596" t="s">
        <v>4095</v>
      </c>
      <c r="F43" s="572">
        <f>SUMIF(124:124,E43,125:125)-SUMIF(124:124,C43,125:125)+100</f>
        <v>100</v>
      </c>
      <c r="G43" s="596" t="s">
        <v>4095</v>
      </c>
      <c r="H43" s="537">
        <f>SUMIF(124:124,G43,125:125)-SUMIF(124:124,C43,125:125)+100</f>
        <v>100</v>
      </c>
      <c r="I43" s="596" t="s">
        <v>4095</v>
      </c>
      <c r="J43" s="537">
        <f>SUMIF(124:124,I43,125:125)-SUMIF(124:124,C43,125:125)+100</f>
        <v>100</v>
      </c>
      <c r="K43" s="581">
        <v>2</v>
      </c>
      <c r="L43" s="2136"/>
      <c r="M43" s="2128"/>
      <c r="N43" s="2128"/>
      <c r="O43" s="2135"/>
      <c r="P43" s="3493"/>
      <c r="Q43" s="1566" t="str">
        <f t="shared" si="11"/>
        <v>内部装修维护情况</v>
      </c>
      <c r="R43" s="1567" t="s">
        <v>8</v>
      </c>
      <c r="S43" s="1568">
        <f t="shared" si="12"/>
        <v>100</v>
      </c>
      <c r="T43" s="1567" t="s">
        <v>8</v>
      </c>
      <c r="U43" s="1568">
        <f t="shared" si="13"/>
        <v>100</v>
      </c>
      <c r="V43" s="1567" t="s">
        <v>8</v>
      </c>
      <c r="W43" s="1568">
        <f t="shared" si="14"/>
        <v>100</v>
      </c>
      <c r="X43" s="1561"/>
      <c r="Y43" s="3493"/>
      <c r="Z43" s="1569" t="str">
        <f t="shared" si="15"/>
        <v>内部装修维护情况</v>
      </c>
      <c r="AA43" s="1570">
        <f t="shared" si="3"/>
        <v>1</v>
      </c>
      <c r="AB43" s="1570">
        <f t="shared" si="4"/>
        <v>1</v>
      </c>
      <c r="AC43" s="1570">
        <f t="shared" si="5"/>
        <v>1</v>
      </c>
    </row>
    <row r="44" spans="1:29" s="1215"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493"/>
      <c r="Q44" s="1146">
        <f t="shared" si="11"/>
        <v>111</v>
      </c>
      <c r="R44" s="1562" t="s">
        <v>8</v>
      </c>
      <c r="S44" s="1563">
        <f t="shared" si="12"/>
        <v>100</v>
      </c>
      <c r="T44" s="1562" t="s">
        <v>8</v>
      </c>
      <c r="U44" s="1563">
        <f t="shared" si="13"/>
        <v>100</v>
      </c>
      <c r="V44" s="1562" t="s">
        <v>8</v>
      </c>
      <c r="W44" s="1563">
        <f t="shared" si="14"/>
        <v>100</v>
      </c>
      <c r="X44" s="1564"/>
      <c r="Y44" s="3493"/>
      <c r="Z44" s="1145">
        <f t="shared" si="15"/>
        <v>111</v>
      </c>
      <c r="AA44" s="1565">
        <f t="shared" si="3"/>
        <v>1</v>
      </c>
      <c r="AB44" s="1565">
        <f t="shared" si="4"/>
        <v>1</v>
      </c>
      <c r="AC44" s="156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493"/>
      <c r="Q45" s="1566">
        <f t="shared" si="11"/>
        <v>111</v>
      </c>
      <c r="R45" s="1567" t="s">
        <v>8</v>
      </c>
      <c r="S45" s="1568">
        <f t="shared" si="12"/>
        <v>100</v>
      </c>
      <c r="T45" s="1567" t="s">
        <v>8</v>
      </c>
      <c r="U45" s="1568">
        <f t="shared" si="13"/>
        <v>100</v>
      </c>
      <c r="V45" s="1567" t="s">
        <v>8</v>
      </c>
      <c r="W45" s="1568">
        <f t="shared" si="14"/>
        <v>100</v>
      </c>
      <c r="X45" s="1561"/>
      <c r="Y45" s="3493"/>
      <c r="Z45" s="1569">
        <f t="shared" si="15"/>
        <v>111</v>
      </c>
      <c r="AA45" s="1570">
        <f t="shared" si="3"/>
        <v>1</v>
      </c>
      <c r="AB45" s="1570">
        <f t="shared" si="4"/>
        <v>1</v>
      </c>
      <c r="AC45" s="157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568"/>
      <c r="Q46" s="1566">
        <f t="shared" si="11"/>
        <v>111</v>
      </c>
      <c r="R46" s="1567" t="s">
        <v>8</v>
      </c>
      <c r="S46" s="1568">
        <f t="shared" si="12"/>
        <v>100</v>
      </c>
      <c r="T46" s="1567" t="s">
        <v>8</v>
      </c>
      <c r="U46" s="1568">
        <f t="shared" si="13"/>
        <v>100</v>
      </c>
      <c r="V46" s="1567" t="s">
        <v>8</v>
      </c>
      <c r="W46" s="1568">
        <f t="shared" si="14"/>
        <v>100</v>
      </c>
      <c r="X46" s="1561"/>
      <c r="Y46" s="3568"/>
      <c r="Z46" s="1569">
        <f t="shared" si="15"/>
        <v>111</v>
      </c>
      <c r="AA46" s="1570">
        <f t="shared" si="3"/>
        <v>1</v>
      </c>
      <c r="AB46" s="1570">
        <f t="shared" si="4"/>
        <v>1</v>
      </c>
      <c r="AC46" s="1570">
        <f t="shared" si="5"/>
        <v>1</v>
      </c>
    </row>
    <row r="47" spans="1:29" ht="15">
      <c r="A47" s="604" t="s">
        <v>736</v>
      </c>
      <c r="B47" s="884"/>
      <c r="C47" s="2643" t="s">
        <v>1</v>
      </c>
      <c r="D47" s="2644"/>
      <c r="E47" s="2645">
        <f>ROUND(37000*L47,0)</f>
        <v>35150</v>
      </c>
      <c r="F47" s="2646"/>
      <c r="G47" s="2647">
        <f>ROUND(32500*L47,0)</f>
        <v>30875</v>
      </c>
      <c r="H47" s="2648"/>
      <c r="I47" s="2645">
        <f>ROUND(38888*L47,0)</f>
        <v>36944</v>
      </c>
      <c r="J47" s="2648"/>
      <c r="K47" s="1605"/>
      <c r="L47" s="2138">
        <v>0.95</v>
      </c>
      <c r="M47" s="2139"/>
      <c r="N47" s="2128"/>
      <c r="O47" s="2139"/>
      <c r="P47" s="3488" t="str">
        <f>A47</f>
        <v>成交单价（元/平方米）</v>
      </c>
      <c r="Q47" s="3488"/>
      <c r="R47" s="3567">
        <f>E47</f>
        <v>35150</v>
      </c>
      <c r="S47" s="3567"/>
      <c r="T47" s="3567">
        <f>G47</f>
        <v>30875</v>
      </c>
      <c r="U47" s="3567"/>
      <c r="V47" s="3567">
        <f>I47</f>
        <v>36944</v>
      </c>
      <c r="W47" s="3567"/>
      <c r="X47" s="1553"/>
      <c r="Y47" s="1575"/>
      <c r="Z47" s="1553"/>
      <c r="AA47" s="1553"/>
      <c r="AB47" s="1553"/>
      <c r="AC47" s="1553"/>
    </row>
    <row r="48" spans="1:29" ht="15.75" thickBot="1">
      <c r="A48" s="612" t="s">
        <v>2761</v>
      </c>
      <c r="B48" s="885"/>
      <c r="C48" s="2649">
        <f>R49</f>
        <v>31928</v>
      </c>
      <c r="D48" s="2650"/>
      <c r="E48" s="2651">
        <f>R48</f>
        <v>33516</v>
      </c>
      <c r="F48" s="2651"/>
      <c r="G48" s="2649">
        <f>T48</f>
        <v>28347</v>
      </c>
      <c r="H48" s="2650"/>
      <c r="I48" s="2651">
        <f>V48</f>
        <v>33920</v>
      </c>
      <c r="J48" s="2650"/>
      <c r="K48" s="1606"/>
      <c r="L48" s="2138"/>
      <c r="M48" s="2139"/>
      <c r="N48" s="2128"/>
      <c r="O48" s="2139"/>
      <c r="P48" s="3488" t="str">
        <f>A48</f>
        <v>比较价格（元/平方米）</v>
      </c>
      <c r="Q48" s="3488"/>
      <c r="R48" s="3567">
        <f>IF(F1="售价",ROUND(PRODUCT(R47,AA7:AA46),0),ROUND(PRODUCT(R47,AA7:AA46),1))</f>
        <v>33516</v>
      </c>
      <c r="S48" s="3567"/>
      <c r="T48" s="3567">
        <f>IF(F1="售价",ROUND(PRODUCT(T47,AB7:AB46),0),ROUND(PRODUCT(T47,AB7:AB46),1))</f>
        <v>28347</v>
      </c>
      <c r="U48" s="3567"/>
      <c r="V48" s="3567">
        <f>IF(F1="售价",ROUND(PRODUCT(V47,AC7:AC46),0),ROUND(PRODUCT(V47,AC7:AC46),1))</f>
        <v>33920</v>
      </c>
      <c r="W48" s="3567"/>
      <c r="X48" s="1553"/>
      <c r="Y48" s="1553"/>
      <c r="Z48" s="1553"/>
      <c r="AA48" s="1553"/>
      <c r="AB48" s="1553"/>
      <c r="AC48" s="1553"/>
    </row>
    <row r="49" spans="1:29" ht="15.75" thickBot="1">
      <c r="A49" s="618" t="s">
        <v>2930</v>
      </c>
      <c r="B49" s="619"/>
      <c r="C49" s="2652">
        <f>R49</f>
        <v>31928</v>
      </c>
      <c r="D49" s="2652"/>
      <c r="E49" s="2652"/>
      <c r="F49" s="2652"/>
      <c r="G49" s="2652"/>
      <c r="H49" s="2652"/>
      <c r="I49" s="2652"/>
      <c r="J49" s="2652"/>
      <c r="K49" s="1607"/>
      <c r="L49" s="2138"/>
      <c r="M49" s="2139"/>
      <c r="N49" s="2128"/>
      <c r="O49" s="2139"/>
      <c r="P49" s="3509" t="str">
        <f>A49</f>
        <v>估价对象XX用房的比较价格（楼面单价，元/平方米）</v>
      </c>
      <c r="Q49" s="3510"/>
      <c r="R49" s="3566">
        <f>IF(F1="售价",ROUND(AVERAGE(R48:V48),0),ROUND(AVERAGE(R48:V48),1))</f>
        <v>31928</v>
      </c>
      <c r="S49" s="3566"/>
      <c r="T49" s="3566"/>
      <c r="U49" s="3566"/>
      <c r="V49" s="3566"/>
      <c r="W49" s="3566"/>
      <c r="X49" s="1553"/>
      <c r="Y49" s="1553"/>
      <c r="Z49" s="1553"/>
      <c r="AA49" s="1553"/>
      <c r="AB49" s="1553"/>
      <c r="AC49" s="1553"/>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4.8752834467120199E-2</v>
      </c>
      <c r="F52" s="624" t="str">
        <f>IF(OR(E52&gt;=0.3,E52&lt;=-0.3),"超过30%","")</f>
        <v/>
      </c>
      <c r="G52" s="623">
        <f>IF(G47&lt;G48,G48/G47-1,G47/G48-1)</f>
        <v>8.9180512929057709E-2</v>
      </c>
      <c r="H52" s="624" t="str">
        <f>IF(OR(G52&gt;=0.3,G52&lt;=-0.3),"超过30%","")</f>
        <v/>
      </c>
      <c r="I52" s="623">
        <f>IF(I47&lt;I48,I48/I47-1,I47/I48-1)</f>
        <v>8.9150943396226312E-2</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0.18234733834268169</v>
      </c>
      <c r="F53" s="624" t="str">
        <f>IF(OR(E53&gt;=0.2,E53&lt;=-0.2),"超过20%","")</f>
        <v/>
      </c>
      <c r="G53" s="623">
        <f>IF(G48&lt;I48,I48/G48-1,G48/I48-1)</f>
        <v>0.19659928740254706</v>
      </c>
      <c r="H53" s="624" t="str">
        <f>IF(OR(G53&gt;=0.2,G53&lt;=-0.2),"超过20%","")</f>
        <v/>
      </c>
      <c r="I53" s="623">
        <f>IF(I48&lt;E48,E48/I48-1,I48/E48-1)</f>
        <v>1.2053944384771365E-2</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1" t="s">
        <v>559</v>
      </c>
      <c r="D54" s="625"/>
      <c r="E54" s="623">
        <f>IF(E47&lt;G47,G47/E47-1,E47/G47-1)</f>
        <v>0.13846153846153841</v>
      </c>
      <c r="F54" s="624" t="str">
        <f>IF(OR(E54&gt;=0.3,E54&lt;=-0.3),"超过30%","")</f>
        <v/>
      </c>
      <c r="G54" s="623">
        <f>IF(G47&lt;I47,I47/G47-1,G47/I47-1)</f>
        <v>0.1965668016194333</v>
      </c>
      <c r="H54" s="624" t="str">
        <f>IF(OR(G54&gt;=0.3,G54&lt;=-0.3),"超过30%","")</f>
        <v/>
      </c>
      <c r="I54" s="623">
        <f>IF(I47&lt;E47,E47/I47-1,I47/E47-1)</f>
        <v>5.1038406827880411E-2</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8" t="s">
        <v>574</v>
      </c>
      <c r="B57" s="1553"/>
      <c r="C57" s="1577"/>
      <c r="D57" s="1577"/>
      <c r="E57" s="1577"/>
      <c r="F57" s="1579"/>
      <c r="G57" s="1579"/>
      <c r="H57" s="1577"/>
      <c r="I57" s="1577"/>
      <c r="J57" s="1577"/>
      <c r="K57" s="1580"/>
      <c r="L57" s="1576"/>
      <c r="M57" s="1577"/>
      <c r="N57" s="1577"/>
      <c r="O57" s="1577"/>
      <c r="P57" s="2151"/>
      <c r="Q57" s="2152"/>
      <c r="R57" s="2139"/>
      <c r="S57" s="2139"/>
      <c r="T57" s="2139"/>
      <c r="U57" s="2139"/>
      <c r="V57" s="2139"/>
      <c r="W57" s="2139"/>
      <c r="X57" s="2139"/>
      <c r="Y57" s="2139"/>
      <c r="Z57" s="2139"/>
      <c r="AA57" s="2139"/>
      <c r="AB57" s="2139"/>
      <c r="AC57" s="2139"/>
    </row>
    <row r="58" spans="1:29" s="1342" customFormat="1" ht="15">
      <c r="A58" s="642" t="s">
        <v>529</v>
      </c>
      <c r="B58" s="643"/>
      <c r="C58" s="2818" t="str">
        <f>YEAR(C7)&amp;"-"&amp;MONTH(C7)</f>
        <v>2018-8</v>
      </c>
      <c r="D58" s="2820">
        <f>EDATE(C58,-1)</f>
        <v>43282</v>
      </c>
      <c r="E58" s="2820">
        <f t="shared" ref="E58:O58" si="16">EDATE(D58,-1)</f>
        <v>43252</v>
      </c>
      <c r="F58" s="2820">
        <f t="shared" si="16"/>
        <v>43221</v>
      </c>
      <c r="G58" s="2820">
        <f t="shared" si="16"/>
        <v>43191</v>
      </c>
      <c r="H58" s="2820">
        <f t="shared" si="16"/>
        <v>43160</v>
      </c>
      <c r="I58" s="2820">
        <f t="shared" si="16"/>
        <v>43132</v>
      </c>
      <c r="J58" s="2820">
        <f t="shared" si="16"/>
        <v>43101</v>
      </c>
      <c r="K58" s="2820">
        <f t="shared" si="16"/>
        <v>43070</v>
      </c>
      <c r="L58" s="2820">
        <f t="shared" si="16"/>
        <v>43040</v>
      </c>
      <c r="M58" s="2820">
        <f t="shared" si="16"/>
        <v>43009</v>
      </c>
      <c r="N58" s="2820">
        <f t="shared" si="16"/>
        <v>42979</v>
      </c>
      <c r="O58" s="2820">
        <f t="shared" si="16"/>
        <v>42948</v>
      </c>
      <c r="P58" s="2154"/>
      <c r="Q58" s="2155"/>
      <c r="R58" s="2155"/>
      <c r="S58" s="2155"/>
      <c r="T58" s="2155"/>
      <c r="U58" s="2155"/>
      <c r="V58" s="2155"/>
      <c r="W58" s="2155"/>
      <c r="X58" s="2155"/>
      <c r="Y58" s="2155"/>
      <c r="Z58" s="2155"/>
      <c r="AA58" s="2155"/>
      <c r="AB58" s="2155"/>
      <c r="AC58" s="2155"/>
    </row>
    <row r="59" spans="1:29" s="1215" customFormat="1" ht="15">
      <c r="A59" s="644"/>
      <c r="B59" s="645"/>
      <c r="C59" s="646">
        <v>100</v>
      </c>
      <c r="D59" s="647">
        <v>99</v>
      </c>
      <c r="E59" s="647">
        <v>98</v>
      </c>
      <c r="F59" s="647">
        <v>97</v>
      </c>
      <c r="G59" s="647">
        <v>96</v>
      </c>
      <c r="H59" s="647">
        <v>95</v>
      </c>
      <c r="I59" s="647">
        <v>94</v>
      </c>
      <c r="J59" s="647">
        <v>93</v>
      </c>
      <c r="K59" s="647">
        <v>92</v>
      </c>
      <c r="L59" s="647">
        <v>91</v>
      </c>
      <c r="M59" s="647">
        <v>90</v>
      </c>
      <c r="N59" s="647">
        <v>89</v>
      </c>
      <c r="O59" s="647">
        <v>88</v>
      </c>
      <c r="P59" s="2152"/>
      <c r="Q59" s="1987"/>
      <c r="R59" s="1987"/>
      <c r="S59" s="1987"/>
      <c r="T59" s="1987"/>
      <c r="U59" s="1987"/>
      <c r="V59" s="1987"/>
      <c r="W59" s="1987"/>
      <c r="X59" s="1987"/>
      <c r="Y59" s="1987"/>
      <c r="Z59" s="1987"/>
      <c r="AA59" s="1987"/>
      <c r="AB59" s="1987"/>
      <c r="AC59" s="1987"/>
    </row>
    <row r="60" spans="1:29" s="1215"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5"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0"/>
    </row>
    <row r="63" spans="1:29">
      <c r="A63" s="661" t="s">
        <v>577</v>
      </c>
      <c r="B63" s="662" t="s">
        <v>534</v>
      </c>
      <c r="C63" s="701" t="str">
        <f>C9</f>
        <v>商业</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2558</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3" t="s">
        <v>2559</v>
      </c>
      <c r="C82" s="2614" t="s">
        <v>2560</v>
      </c>
      <c r="D82" s="2614" t="s">
        <v>2561</v>
      </c>
      <c r="E82" s="2614" t="s">
        <v>2562</v>
      </c>
      <c r="F82" s="2614" t="s">
        <v>2563</v>
      </c>
      <c r="G82" s="2614" t="s">
        <v>2564</v>
      </c>
      <c r="H82" s="671"/>
      <c r="I82" s="671"/>
      <c r="J82" s="671"/>
      <c r="K82" s="671"/>
      <c r="L82" s="671"/>
      <c r="M82" s="2617"/>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98</v>
      </c>
      <c r="E83" s="676">
        <f>D83-$K21</f>
        <v>96</v>
      </c>
      <c r="F83" s="676">
        <f>E83-$K21</f>
        <v>94</v>
      </c>
      <c r="G83" s="676">
        <f>F83-$K21</f>
        <v>92</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6"/>
      <c r="B86" s="670" t="s">
        <v>771</v>
      </c>
      <c r="C86" s="3224" t="s">
        <v>4279</v>
      </c>
      <c r="D86" s="3224" t="s">
        <v>4280</v>
      </c>
      <c r="E86" s="3224" t="s">
        <v>4282</v>
      </c>
      <c r="F86" s="3224" t="s">
        <v>4283</v>
      </c>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6"/>
      <c r="B87" s="675"/>
      <c r="C87" s="709">
        <v>100</v>
      </c>
      <c r="D87" s="676">
        <f t="shared" ref="D87:M87" si="19">C87-$K25</f>
        <v>98</v>
      </c>
      <c r="E87" s="676">
        <f t="shared" si="19"/>
        <v>96</v>
      </c>
      <c r="F87" s="676">
        <f t="shared" si="19"/>
        <v>94</v>
      </c>
      <c r="G87" s="676">
        <f t="shared" si="19"/>
        <v>92</v>
      </c>
      <c r="H87" s="676">
        <f t="shared" si="19"/>
        <v>90</v>
      </c>
      <c r="I87" s="676">
        <f t="shared" si="19"/>
        <v>88</v>
      </c>
      <c r="J87" s="676">
        <f t="shared" si="19"/>
        <v>86</v>
      </c>
      <c r="K87" s="676">
        <f t="shared" si="19"/>
        <v>84</v>
      </c>
      <c r="L87" s="676">
        <f t="shared" si="19"/>
        <v>82</v>
      </c>
      <c r="M87" s="676">
        <f t="shared" si="19"/>
        <v>80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6"/>
      <c r="B88" s="670" t="str">
        <f>B26</f>
        <v>平面位置/可视性</v>
      </c>
      <c r="C88" s="3224" t="s">
        <v>4094</v>
      </c>
      <c r="D88" s="3224" t="s">
        <v>4096</v>
      </c>
      <c r="E88" s="3224" t="s">
        <v>4098</v>
      </c>
      <c r="F88" s="3243" t="s">
        <v>4100</v>
      </c>
      <c r="G88" s="3224" t="s">
        <v>4101</v>
      </c>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6"/>
      <c r="B89" s="675"/>
      <c r="C89" s="689">
        <v>100</v>
      </c>
      <c r="D89" s="668">
        <v>98</v>
      </c>
      <c r="E89" s="689">
        <v>96</v>
      </c>
      <c r="F89" s="668">
        <v>94</v>
      </c>
      <c r="G89" s="689">
        <v>92</v>
      </c>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4"/>
      <c r="B90" s="670" t="str">
        <f>B27</f>
        <v>人流量</v>
      </c>
      <c r="C90" s="3224" t="s">
        <v>4284</v>
      </c>
      <c r="D90" s="3224" t="s">
        <v>4096</v>
      </c>
      <c r="E90" s="3224" t="s">
        <v>4098</v>
      </c>
      <c r="F90" s="3224" t="s">
        <v>4100</v>
      </c>
      <c r="G90" s="3224" t="s">
        <v>4101</v>
      </c>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4"/>
      <c r="B91" s="675"/>
      <c r="C91" s="709">
        <v>100</v>
      </c>
      <c r="D91" s="676">
        <f>C91-$K27</f>
        <v>98</v>
      </c>
      <c r="E91" s="676">
        <f t="shared" ref="E91:M91" si="20">D91-$K27</f>
        <v>96</v>
      </c>
      <c r="F91" s="676">
        <f t="shared" si="20"/>
        <v>94</v>
      </c>
      <c r="G91" s="676">
        <f t="shared" si="20"/>
        <v>92</v>
      </c>
      <c r="H91" s="676">
        <f t="shared" si="20"/>
        <v>90</v>
      </c>
      <c r="I91" s="676">
        <f t="shared" si="20"/>
        <v>88</v>
      </c>
      <c r="J91" s="676">
        <f t="shared" si="20"/>
        <v>86</v>
      </c>
      <c r="K91" s="676">
        <f t="shared" si="20"/>
        <v>84</v>
      </c>
      <c r="L91" s="676">
        <f t="shared" si="20"/>
        <v>82</v>
      </c>
      <c r="M91" s="676">
        <f t="shared" si="20"/>
        <v>80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t="s">
        <v>4285</v>
      </c>
      <c r="D92" s="685" t="s">
        <v>4286</v>
      </c>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v>100</v>
      </c>
      <c r="D93" s="668">
        <v>75</v>
      </c>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3223" t="s">
        <v>4288</v>
      </c>
      <c r="D100" s="3223" t="s">
        <v>4289</v>
      </c>
      <c r="E100" s="3223" t="s">
        <v>4291</v>
      </c>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97</v>
      </c>
      <c r="E101" s="676">
        <f t="shared" si="21"/>
        <v>94</v>
      </c>
      <c r="F101" s="676">
        <f t="shared" si="21"/>
        <v>91</v>
      </c>
      <c r="G101" s="676">
        <f t="shared" si="21"/>
        <v>88</v>
      </c>
      <c r="H101" s="676">
        <f t="shared" si="21"/>
        <v>85</v>
      </c>
      <c r="I101" s="676">
        <f t="shared" si="21"/>
        <v>82</v>
      </c>
      <c r="J101" s="676">
        <f t="shared" si="21"/>
        <v>79</v>
      </c>
      <c r="K101" s="676">
        <f t="shared" si="21"/>
        <v>76</v>
      </c>
      <c r="L101" s="676">
        <f t="shared" si="21"/>
        <v>73</v>
      </c>
      <c r="M101" s="677">
        <f t="shared" si="21"/>
        <v>70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0(含)-100</v>
      </c>
      <c r="D102" s="705" t="str">
        <f t="shared" ref="D102:L102" si="22">D103&amp;"(含)"&amp;"-"&amp;E103</f>
        <v>100(含)-200</v>
      </c>
      <c r="E102" s="705" t="str">
        <f t="shared" si="22"/>
        <v>200(含)-300</v>
      </c>
      <c r="F102" s="705" t="str">
        <f t="shared" si="22"/>
        <v>300(含)-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5"/>
      <c r="B103" s="726"/>
      <c r="C103" s="727">
        <v>0</v>
      </c>
      <c r="D103" s="727">
        <v>100</v>
      </c>
      <c r="E103" s="727">
        <v>200</v>
      </c>
      <c r="F103" s="727">
        <v>300</v>
      </c>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4"/>
      <c r="B104" s="675"/>
      <c r="C104" s="689">
        <v>100</v>
      </c>
      <c r="D104" s="668">
        <v>99</v>
      </c>
      <c r="E104" s="668">
        <v>98</v>
      </c>
      <c r="F104" s="668">
        <v>97</v>
      </c>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224" t="s">
        <v>4293</v>
      </c>
      <c r="D105" s="3224" t="s">
        <v>4292</v>
      </c>
      <c r="E105" s="3225" t="s">
        <v>4294</v>
      </c>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98</v>
      </c>
      <c r="E106" s="676">
        <f t="shared" si="23"/>
        <v>96</v>
      </c>
      <c r="F106" s="676">
        <f t="shared" si="23"/>
        <v>94</v>
      </c>
      <c r="G106" s="676">
        <f t="shared" si="23"/>
        <v>92</v>
      </c>
      <c r="H106" s="676">
        <f t="shared" si="23"/>
        <v>90</v>
      </c>
      <c r="I106" s="676">
        <f t="shared" si="23"/>
        <v>88</v>
      </c>
      <c r="J106" s="676">
        <f t="shared" si="23"/>
        <v>86</v>
      </c>
      <c r="K106" s="676">
        <f t="shared" si="23"/>
        <v>84</v>
      </c>
      <c r="L106" s="676">
        <f t="shared" si="23"/>
        <v>82</v>
      </c>
      <c r="M106" s="677">
        <f t="shared" si="23"/>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3224" t="s">
        <v>4295</v>
      </c>
      <c r="D107" s="3224" t="s">
        <v>4296</v>
      </c>
      <c r="E107" s="3224" t="s">
        <v>4297</v>
      </c>
      <c r="F107" s="3225" t="s">
        <v>4298</v>
      </c>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98</v>
      </c>
      <c r="E108" s="676">
        <f t="shared" si="24"/>
        <v>96</v>
      </c>
      <c r="F108" s="676">
        <f t="shared" si="24"/>
        <v>94</v>
      </c>
      <c r="G108" s="676">
        <f t="shared" si="24"/>
        <v>92</v>
      </c>
      <c r="H108" s="676">
        <f t="shared" si="24"/>
        <v>90</v>
      </c>
      <c r="I108" s="676">
        <f t="shared" si="24"/>
        <v>88</v>
      </c>
      <c r="J108" s="676">
        <f t="shared" si="24"/>
        <v>86</v>
      </c>
      <c r="K108" s="676">
        <f t="shared" si="24"/>
        <v>84</v>
      </c>
      <c r="L108" s="676">
        <f t="shared" si="24"/>
        <v>82</v>
      </c>
      <c r="M108" s="677">
        <f t="shared" si="24"/>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102</v>
      </c>
      <c r="E111" s="676">
        <f t="shared" ref="E111:M111" si="25">D111+$K36</f>
        <v>104</v>
      </c>
      <c r="F111" s="676">
        <f t="shared" si="25"/>
        <v>106</v>
      </c>
      <c r="G111" s="676">
        <f t="shared" si="25"/>
        <v>108</v>
      </c>
      <c r="H111" s="676">
        <f t="shared" si="25"/>
        <v>110</v>
      </c>
      <c r="I111" s="676">
        <f t="shared" si="25"/>
        <v>112</v>
      </c>
      <c r="J111" s="676">
        <f t="shared" si="25"/>
        <v>114</v>
      </c>
      <c r="K111" s="676">
        <f t="shared" si="25"/>
        <v>116</v>
      </c>
      <c r="L111" s="676">
        <f t="shared" si="25"/>
        <v>118</v>
      </c>
      <c r="M111" s="676">
        <f t="shared" si="25"/>
        <v>120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5"/>
      <c r="B112" s="1890" t="s">
        <v>2557</v>
      </c>
      <c r="C112" s="3224" t="s">
        <v>4299</v>
      </c>
      <c r="D112" s="3224" t="s">
        <v>4300</v>
      </c>
      <c r="E112" s="3224" t="s">
        <v>4301</v>
      </c>
      <c r="F112" s="3224" t="s">
        <v>4302</v>
      </c>
      <c r="G112" s="3224" t="s">
        <v>4303</v>
      </c>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4"/>
      <c r="B113" s="675"/>
      <c r="C113" s="676">
        <v>100</v>
      </c>
      <c r="D113" s="676">
        <f>C113-$K37</f>
        <v>98</v>
      </c>
      <c r="E113" s="676">
        <f t="shared" ref="E113:M113" si="26">D113-$K37</f>
        <v>96</v>
      </c>
      <c r="F113" s="676">
        <f t="shared" si="26"/>
        <v>94</v>
      </c>
      <c r="G113" s="676">
        <f t="shared" si="26"/>
        <v>92</v>
      </c>
      <c r="H113" s="676">
        <f t="shared" si="26"/>
        <v>90</v>
      </c>
      <c r="I113" s="676">
        <f t="shared" si="26"/>
        <v>88</v>
      </c>
      <c r="J113" s="676">
        <f t="shared" si="26"/>
        <v>86</v>
      </c>
      <c r="K113" s="676">
        <f t="shared" si="26"/>
        <v>84</v>
      </c>
      <c r="L113" s="676">
        <f t="shared" si="26"/>
        <v>82</v>
      </c>
      <c r="M113" s="676">
        <f t="shared" si="26"/>
        <v>80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3224" t="s">
        <v>4305</v>
      </c>
      <c r="D114" s="3224" t="s">
        <v>4307</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3224" t="s">
        <v>4308</v>
      </c>
      <c r="D116" s="3224" t="s">
        <v>4310</v>
      </c>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5"/>
      <c r="B120" s="670" t="s">
        <v>776</v>
      </c>
      <c r="C120" s="3225" t="s">
        <v>4083</v>
      </c>
      <c r="D120" s="3225" t="s">
        <v>4085</v>
      </c>
      <c r="E120" s="3225" t="s">
        <v>4311</v>
      </c>
      <c r="F120" s="3225" t="s">
        <v>4087</v>
      </c>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4"/>
      <c r="B121" s="667"/>
      <c r="C121" s="709">
        <v>100</v>
      </c>
      <c r="D121" s="676">
        <f>C121-$K41</f>
        <v>98</v>
      </c>
      <c r="E121" s="676">
        <f t="shared" ref="E121:M121" si="28">D121-$K41</f>
        <v>96</v>
      </c>
      <c r="F121" s="676">
        <f t="shared" si="28"/>
        <v>94</v>
      </c>
      <c r="G121" s="676">
        <f t="shared" si="28"/>
        <v>92</v>
      </c>
      <c r="H121" s="676">
        <f t="shared" si="28"/>
        <v>90</v>
      </c>
      <c r="I121" s="676">
        <f t="shared" si="28"/>
        <v>88</v>
      </c>
      <c r="J121" s="676">
        <f t="shared" si="28"/>
        <v>86</v>
      </c>
      <c r="K121" s="676">
        <f t="shared" si="28"/>
        <v>84</v>
      </c>
      <c r="L121" s="676">
        <f t="shared" si="28"/>
        <v>82</v>
      </c>
      <c r="M121" s="677">
        <f t="shared" si="28"/>
        <v>80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3224" t="s">
        <v>4295</v>
      </c>
      <c r="D122" s="3224" t="s">
        <v>4296</v>
      </c>
      <c r="E122" s="3224" t="s">
        <v>4297</v>
      </c>
      <c r="F122" s="3225" t="s">
        <v>4298</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7">
        <f t="shared" si="29"/>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G36" sqref="G36"/>
    </sheetView>
  </sheetViews>
  <sheetFormatPr defaultRowHeight="12.75"/>
  <cols>
    <col min="1" max="1" width="11.5" style="1245" customWidth="1"/>
    <col min="2" max="2" width="9.25" style="1213" customWidth="1"/>
    <col min="3" max="3" width="6.125" style="1213" customWidth="1"/>
    <col min="4" max="4" width="11.125" style="1213" customWidth="1"/>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4"/>
    <col min="36" max="16384" width="9" style="1245"/>
  </cols>
  <sheetData>
    <row r="1" spans="1:45" s="254" customFormat="1" ht="14.25" customHeight="1" thickBot="1">
      <c r="A1" s="362"/>
      <c r="B1" s="2228" t="s">
        <v>2303</v>
      </c>
      <c r="C1" s="3572" t="s">
        <v>2304</v>
      </c>
      <c r="D1" s="3573"/>
      <c r="E1" s="3573"/>
      <c r="F1" s="3573"/>
      <c r="G1" s="3573"/>
      <c r="H1" s="3573"/>
      <c r="I1" s="3573"/>
      <c r="J1" s="3573"/>
      <c r="K1" s="3573"/>
      <c r="L1" s="3573"/>
      <c r="M1" s="3573"/>
      <c r="N1" s="3573"/>
      <c r="O1" s="3573"/>
      <c r="P1" s="3573"/>
      <c r="Q1" s="3573"/>
      <c r="R1" s="3573"/>
      <c r="S1" s="3574"/>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ht="38.25">
      <c r="A2" s="2229"/>
      <c r="B2" s="946" t="s">
        <v>2306</v>
      </c>
      <c r="C2" s="947" t="str">
        <f t="shared" ref="C2:L2" si="0">C3&amp;"(含)"&amp;"-"&amp;D3</f>
        <v>0(含)-100</v>
      </c>
      <c r="D2" s="948" t="str">
        <f t="shared" si="0"/>
        <v>100(含)-200</v>
      </c>
      <c r="E2" s="948" t="str">
        <f t="shared" si="0"/>
        <v>200(含)-300</v>
      </c>
      <c r="F2" s="948" t="str">
        <f t="shared" si="0"/>
        <v>300(含)-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ht="14.25">
      <c r="A3" s="2232"/>
      <c r="B3" s="950"/>
      <c r="C3" s="727">
        <v>0</v>
      </c>
      <c r="D3" s="727">
        <v>100</v>
      </c>
      <c r="E3" s="727">
        <v>200</v>
      </c>
      <c r="F3" s="727">
        <v>300</v>
      </c>
      <c r="G3" s="951"/>
      <c r="H3" s="951"/>
      <c r="I3" s="951"/>
      <c r="J3" s="952"/>
      <c r="K3" s="952"/>
      <c r="L3" s="953"/>
      <c r="M3" s="2233"/>
      <c r="N3" s="2234"/>
      <c r="O3" s="951"/>
      <c r="P3" s="951"/>
      <c r="Q3" s="951"/>
      <c r="R3" s="951"/>
      <c r="S3" s="2235"/>
      <c r="T3" s="954"/>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5" thickBot="1">
      <c r="A4" s="2237"/>
      <c r="B4" s="2238"/>
      <c r="C4" s="689">
        <v>100</v>
      </c>
      <c r="D4" s="668">
        <v>99</v>
      </c>
      <c r="E4" s="668">
        <v>98</v>
      </c>
      <c r="F4" s="668">
        <v>97</v>
      </c>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ht="13.5" thickTop="1">
      <c r="A5" s="2245"/>
      <c r="B5" s="3101" t="s">
        <v>2923</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3" t="s">
        <v>2922</v>
      </c>
      <c r="C7" s="1955"/>
      <c r="D7" s="1956"/>
      <c r="E7" s="1956"/>
      <c r="F7" s="1956"/>
      <c r="G7" s="1956"/>
      <c r="H7" s="1956"/>
      <c r="I7" s="1956"/>
      <c r="J7" s="1956"/>
      <c r="K7" s="1956"/>
      <c r="L7" s="1956"/>
      <c r="M7" s="2253"/>
      <c r="N7" s="2254"/>
      <c r="O7" s="2255"/>
      <c r="P7" s="2256"/>
      <c r="Q7" s="2257"/>
      <c r="R7" s="2258"/>
      <c r="S7" s="2259"/>
      <c r="T7" s="955"/>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3" t="s">
        <v>2921</v>
      </c>
      <c r="C9" s="1955"/>
      <c r="D9" s="1956"/>
      <c r="E9" s="1956"/>
      <c r="F9" s="1956"/>
      <c r="G9" s="1956"/>
      <c r="H9" s="1956"/>
      <c r="I9" s="1956"/>
      <c r="J9" s="1956"/>
      <c r="K9" s="1956"/>
      <c r="L9" s="1957"/>
      <c r="M9" s="2253"/>
      <c r="N9" s="2254"/>
      <c r="O9" s="2255"/>
      <c r="P9" s="2256"/>
      <c r="Q9" s="2257"/>
      <c r="R9" s="2258"/>
      <c r="S9" s="2259"/>
      <c r="T9" s="955"/>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2"/>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1" t="s">
        <v>2936</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1" t="s">
        <v>2920</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1" t="s">
        <v>2919</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ht="15" thickTop="1">
      <c r="A17" s="2271" t="s">
        <v>2307</v>
      </c>
      <c r="B17" s="2272" t="s">
        <v>2308</v>
      </c>
      <c r="C17" s="685" t="s">
        <v>4285</v>
      </c>
      <c r="D17" s="685" t="s">
        <v>4286</v>
      </c>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1"/>
      <c r="AS17" s="2231"/>
    </row>
    <row r="18" spans="1:45" s="1964" customFormat="1" ht="12.75" customHeight="1" thickBot="1">
      <c r="A18" s="2282"/>
      <c r="B18" s="2283"/>
      <c r="C18" s="668">
        <v>100</v>
      </c>
      <c r="D18" s="668">
        <v>75</v>
      </c>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6" t="s">
        <v>828</v>
      </c>
      <c r="B20" s="772">
        <f>S22</f>
        <v>13766</v>
      </c>
      <c r="C20" s="1984"/>
      <c r="D20" s="1984"/>
      <c r="E20" s="1984"/>
      <c r="F20" s="1984"/>
      <c r="G20" s="1984"/>
      <c r="H20" s="1984"/>
      <c r="I20" s="1984"/>
      <c r="J20" s="1984"/>
      <c r="K20" s="1984"/>
      <c r="L20" s="1984"/>
      <c r="M20" s="1984"/>
      <c r="N20" s="1984"/>
      <c r="O20" s="1984"/>
      <c r="P20" s="1984"/>
      <c r="Q20" s="1984"/>
      <c r="R20" s="2219"/>
      <c r="S20" s="2022"/>
    </row>
    <row r="21" spans="1:45" ht="15.75">
      <c r="A21" s="956" t="s">
        <v>829</v>
      </c>
      <c r="B21" s="772">
        <f>R22</f>
        <v>28287</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4866.630000000001</v>
      </c>
      <c r="C22" s="3569" t="s">
        <v>20</v>
      </c>
      <c r="D22" s="3570"/>
      <c r="E22" s="3570"/>
      <c r="F22" s="3570"/>
      <c r="G22" s="3570"/>
      <c r="H22" s="3570"/>
      <c r="I22" s="3570"/>
      <c r="J22" s="3570"/>
      <c r="K22" s="3570"/>
      <c r="L22" s="3570"/>
      <c r="M22" s="3570"/>
      <c r="N22" s="3570"/>
      <c r="O22" s="3570"/>
      <c r="P22" s="3570"/>
      <c r="Q22" s="3571"/>
      <c r="R22" s="487">
        <f>ROUND(S22*10000/B22,0)</f>
        <v>28287</v>
      </c>
      <c r="S22" s="53">
        <f>SUM(S24:S10000)</f>
        <v>13766</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09" customFormat="1">
      <c r="A24" s="3245" t="s">
        <v>4316</v>
      </c>
      <c r="B24" s="957">
        <f>'不动产比较法-商业'!C33</f>
        <v>711.2</v>
      </c>
      <c r="C24" s="958">
        <v>1</v>
      </c>
      <c r="D24" s="959"/>
      <c r="E24" s="958">
        <v>1</v>
      </c>
      <c r="F24" s="959"/>
      <c r="G24" s="958">
        <v>1</v>
      </c>
      <c r="H24" s="959"/>
      <c r="I24" s="958">
        <v>1</v>
      </c>
      <c r="J24" s="959"/>
      <c r="K24" s="958">
        <v>1</v>
      </c>
      <c r="L24" s="959"/>
      <c r="M24" s="958">
        <v>1</v>
      </c>
      <c r="N24" s="959"/>
      <c r="O24" s="958">
        <v>1</v>
      </c>
      <c r="P24" s="959" t="s">
        <v>4312</v>
      </c>
      <c r="Q24" s="958">
        <v>1</v>
      </c>
      <c r="R24" s="960">
        <f>'不动产比较法-商业'!C49</f>
        <v>31928</v>
      </c>
      <c r="S24" s="958">
        <f t="shared" ref="S24:S54" si="11">ROUND(R24*B24/10000,0)</f>
        <v>2271</v>
      </c>
      <c r="T24" s="1967"/>
      <c r="U24" s="1967"/>
      <c r="V24" s="1967"/>
      <c r="W24" s="1967"/>
      <c r="X24" s="1967"/>
      <c r="Y24" s="1967"/>
      <c r="Z24" s="1967"/>
      <c r="AA24" s="1967"/>
      <c r="AB24" s="1967"/>
      <c r="AC24" s="1967"/>
      <c r="AD24" s="1967"/>
      <c r="AE24" s="1967"/>
      <c r="AF24" s="1967"/>
      <c r="AG24" s="1967"/>
      <c r="AH24" s="1967"/>
      <c r="AI24" s="1967"/>
    </row>
    <row r="25" spans="1:45">
      <c r="A25" s="961" t="s">
        <v>4317</v>
      </c>
      <c r="B25" s="136">
        <f>B24</f>
        <v>711.2</v>
      </c>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t="s">
        <v>4327</v>
      </c>
      <c r="Q25" s="53">
        <f>(SUMIF($17:$17,P25,$18:$18)-SUMIF($17:$17,$P$24,$18:$18)+100)/100</f>
        <v>0.75</v>
      </c>
      <c r="R25" s="487">
        <f>IF(B25="",0,ROUND($R$24*C25*E25*G25*I25*K25*M25*O25*Q25,0))</f>
        <v>23946</v>
      </c>
      <c r="S25" s="796">
        <f t="shared" si="11"/>
        <v>1703</v>
      </c>
    </row>
    <row r="26" spans="1:45">
      <c r="A26" s="961" t="s">
        <v>4318</v>
      </c>
      <c r="B26" s="136">
        <f>ROUND(已售汇总!I6/2,2)</f>
        <v>608.73</v>
      </c>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t="s">
        <v>4312</v>
      </c>
      <c r="Q26" s="53">
        <f t="shared" ref="Q26:Q89" si="19">(SUMIF($17:$17,P26,$18:$18)-SUMIF($17:$17,$P$24,$18:$18)+100)/100</f>
        <v>1</v>
      </c>
      <c r="R26" s="487">
        <f t="shared" ref="R26:R89" si="20">IF(B26="",0,ROUND($R$24*C26*E26*G26*I26*K26*M26*O26*Q26,0))</f>
        <v>31928</v>
      </c>
      <c r="S26" s="796">
        <f t="shared" si="11"/>
        <v>1944</v>
      </c>
    </row>
    <row r="27" spans="1:45">
      <c r="A27" s="961" t="s">
        <v>4319</v>
      </c>
      <c r="B27" s="136">
        <f>B26</f>
        <v>608.73</v>
      </c>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t="s">
        <v>4327</v>
      </c>
      <c r="Q27" s="53">
        <f t="shared" si="19"/>
        <v>0.75</v>
      </c>
      <c r="R27" s="487">
        <f t="shared" si="20"/>
        <v>23946</v>
      </c>
      <c r="S27" s="796">
        <f t="shared" si="11"/>
        <v>1458</v>
      </c>
    </row>
    <row r="28" spans="1:45">
      <c r="A28" s="3251" t="s">
        <v>4320</v>
      </c>
      <c r="B28" s="136">
        <f>已售汇总!F23</f>
        <v>559.53</v>
      </c>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t="s">
        <v>4312</v>
      </c>
      <c r="Q28" s="53">
        <f t="shared" si="19"/>
        <v>1</v>
      </c>
      <c r="R28" s="487">
        <f t="shared" si="20"/>
        <v>31928</v>
      </c>
      <c r="S28" s="796">
        <f t="shared" si="11"/>
        <v>1786</v>
      </c>
    </row>
    <row r="29" spans="1:45">
      <c r="A29" s="3251" t="s">
        <v>4321</v>
      </c>
      <c r="B29" s="136">
        <f>已售汇总!G23</f>
        <v>556.97</v>
      </c>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t="s">
        <v>4327</v>
      </c>
      <c r="Q29" s="53">
        <f t="shared" si="19"/>
        <v>0.75</v>
      </c>
      <c r="R29" s="487">
        <f t="shared" si="20"/>
        <v>23946</v>
      </c>
      <c r="S29" s="796">
        <f t="shared" si="11"/>
        <v>1334</v>
      </c>
    </row>
    <row r="30" spans="1:45">
      <c r="A30" s="3251" t="s">
        <v>4322</v>
      </c>
      <c r="B30" s="136">
        <f>已售汇总!F32</f>
        <v>285.27</v>
      </c>
      <c r="C30" s="53">
        <f t="shared" si="12"/>
        <v>1.01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t="s">
        <v>4312</v>
      </c>
      <c r="Q30" s="53">
        <f t="shared" si="19"/>
        <v>1</v>
      </c>
      <c r="R30" s="487">
        <f t="shared" si="20"/>
        <v>32247</v>
      </c>
      <c r="S30" s="796">
        <f t="shared" si="11"/>
        <v>920</v>
      </c>
    </row>
    <row r="31" spans="1:45">
      <c r="A31" s="3251" t="s">
        <v>4323</v>
      </c>
      <c r="B31" s="136">
        <f>已售汇总!G32</f>
        <v>162.4</v>
      </c>
      <c r="C31" s="53">
        <f t="shared" si="12"/>
        <v>1.02</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t="s">
        <v>4327</v>
      </c>
      <c r="Q31" s="53">
        <f t="shared" si="19"/>
        <v>0.75</v>
      </c>
      <c r="R31" s="487">
        <f t="shared" si="20"/>
        <v>24425</v>
      </c>
      <c r="S31" s="796">
        <f t="shared" si="11"/>
        <v>397</v>
      </c>
    </row>
    <row r="32" spans="1:45">
      <c r="A32" s="3251" t="s">
        <v>4324</v>
      </c>
      <c r="B32" s="136">
        <f>已售汇总!F36</f>
        <v>424.32</v>
      </c>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t="s">
        <v>4312</v>
      </c>
      <c r="Q32" s="53">
        <f t="shared" si="19"/>
        <v>1</v>
      </c>
      <c r="R32" s="487">
        <f t="shared" si="20"/>
        <v>31928</v>
      </c>
      <c r="S32" s="796">
        <f t="shared" si="11"/>
        <v>1355</v>
      </c>
    </row>
    <row r="33" spans="1:19">
      <c r="A33" s="3251" t="s">
        <v>4325</v>
      </c>
      <c r="B33" s="136">
        <f>已售汇总!G36</f>
        <v>213.6</v>
      </c>
      <c r="C33" s="53">
        <f t="shared" si="12"/>
        <v>1.01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t="s">
        <v>4327</v>
      </c>
      <c r="Q33" s="53">
        <f t="shared" si="19"/>
        <v>0.75</v>
      </c>
      <c r="R33" s="487">
        <f t="shared" si="20"/>
        <v>24185</v>
      </c>
      <c r="S33" s="796">
        <f t="shared" si="11"/>
        <v>517</v>
      </c>
    </row>
    <row r="34" spans="1:19">
      <c r="A34" s="3251" t="s">
        <v>4326</v>
      </c>
      <c r="B34" s="136">
        <f>已售汇总!B41</f>
        <v>24.68</v>
      </c>
      <c r="C34" s="53">
        <f t="shared" si="12"/>
        <v>1.03</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t="s">
        <v>4312</v>
      </c>
      <c r="Q34" s="53">
        <f t="shared" si="19"/>
        <v>1</v>
      </c>
      <c r="R34" s="487">
        <f t="shared" si="20"/>
        <v>32886</v>
      </c>
      <c r="S34" s="796">
        <f t="shared" si="11"/>
        <v>81</v>
      </c>
    </row>
    <row r="35" spans="1:19">
      <c r="A35" s="3251"/>
      <c r="B35" s="136"/>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0</v>
      </c>
      <c r="R35" s="487">
        <f t="shared" si="20"/>
        <v>0</v>
      </c>
      <c r="S35" s="796">
        <f t="shared" si="11"/>
        <v>0</v>
      </c>
    </row>
    <row r="36" spans="1:19">
      <c r="A36" s="961"/>
      <c r="B36" s="136"/>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0</v>
      </c>
      <c r="R36" s="487">
        <f t="shared" si="20"/>
        <v>0</v>
      </c>
      <c r="S36" s="796">
        <f t="shared" si="11"/>
        <v>0</v>
      </c>
    </row>
    <row r="37" spans="1:19">
      <c r="A37" s="961"/>
      <c r="B37" s="136"/>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0</v>
      </c>
      <c r="R37" s="487">
        <f t="shared" si="20"/>
        <v>0</v>
      </c>
      <c r="S37" s="796">
        <f t="shared" si="11"/>
        <v>0</v>
      </c>
    </row>
    <row r="38" spans="1:19">
      <c r="A38" s="961"/>
      <c r="B38" s="136"/>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0</v>
      </c>
      <c r="R38" s="487">
        <f t="shared" si="20"/>
        <v>0</v>
      </c>
      <c r="S38" s="796">
        <f t="shared" si="11"/>
        <v>0</v>
      </c>
    </row>
    <row r="39" spans="1:19">
      <c r="A39" s="961"/>
      <c r="B39" s="136"/>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0</v>
      </c>
      <c r="R39" s="487">
        <f t="shared" si="20"/>
        <v>0</v>
      </c>
      <c r="S39" s="796">
        <f t="shared" si="11"/>
        <v>0</v>
      </c>
    </row>
    <row r="40" spans="1:19">
      <c r="A40" s="961"/>
      <c r="B40" s="136"/>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0</v>
      </c>
      <c r="R40" s="487">
        <f t="shared" si="20"/>
        <v>0</v>
      </c>
      <c r="S40" s="796">
        <f t="shared" si="11"/>
        <v>0</v>
      </c>
    </row>
    <row r="41" spans="1:19">
      <c r="A41" s="961"/>
      <c r="B41" s="136"/>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0</v>
      </c>
      <c r="R41" s="487">
        <f t="shared" si="20"/>
        <v>0</v>
      </c>
      <c r="S41" s="796">
        <f t="shared" si="11"/>
        <v>0</v>
      </c>
    </row>
    <row r="42" spans="1:19">
      <c r="A42" s="961"/>
      <c r="B42" s="136"/>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0</v>
      </c>
      <c r="R42" s="487">
        <f t="shared" si="20"/>
        <v>0</v>
      </c>
      <c r="S42" s="796">
        <f t="shared" si="11"/>
        <v>0</v>
      </c>
    </row>
    <row r="43" spans="1:19">
      <c r="A43" s="961"/>
      <c r="B43" s="136"/>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0</v>
      </c>
      <c r="R43" s="487">
        <f t="shared" si="20"/>
        <v>0</v>
      </c>
      <c r="S43" s="796">
        <f t="shared" si="11"/>
        <v>0</v>
      </c>
    </row>
    <row r="44" spans="1:19">
      <c r="A44" s="961"/>
      <c r="B44" s="136"/>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0</v>
      </c>
      <c r="R44" s="487">
        <f t="shared" si="20"/>
        <v>0</v>
      </c>
      <c r="S44" s="796">
        <f t="shared" si="11"/>
        <v>0</v>
      </c>
    </row>
    <row r="45" spans="1:19">
      <c r="A45" s="961"/>
      <c r="B45" s="136"/>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0</v>
      </c>
      <c r="R45" s="487">
        <f t="shared" si="20"/>
        <v>0</v>
      </c>
      <c r="S45" s="796">
        <f t="shared" si="11"/>
        <v>0</v>
      </c>
    </row>
    <row r="46" spans="1:19">
      <c r="A46" s="961"/>
      <c r="B46" s="136"/>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0</v>
      </c>
      <c r="R46" s="487">
        <f t="shared" si="20"/>
        <v>0</v>
      </c>
      <c r="S46" s="796">
        <f t="shared" si="11"/>
        <v>0</v>
      </c>
    </row>
    <row r="47" spans="1:19">
      <c r="A47" s="961"/>
      <c r="B47" s="136"/>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0</v>
      </c>
      <c r="R47" s="487">
        <f t="shared" si="20"/>
        <v>0</v>
      </c>
      <c r="S47" s="796">
        <f t="shared" si="11"/>
        <v>0</v>
      </c>
    </row>
    <row r="48" spans="1:19">
      <c r="A48" s="961"/>
      <c r="B48" s="136"/>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0</v>
      </c>
      <c r="R48" s="487">
        <f t="shared" si="20"/>
        <v>0</v>
      </c>
      <c r="S48" s="796">
        <f t="shared" si="11"/>
        <v>0</v>
      </c>
    </row>
    <row r="49" spans="1:19">
      <c r="A49" s="961"/>
      <c r="B49" s="136"/>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0</v>
      </c>
      <c r="R49" s="487">
        <f t="shared" si="20"/>
        <v>0</v>
      </c>
      <c r="S49" s="796">
        <f t="shared" si="11"/>
        <v>0</v>
      </c>
    </row>
    <row r="50" spans="1:19">
      <c r="A50" s="961"/>
      <c r="B50" s="136"/>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0</v>
      </c>
      <c r="R50" s="487">
        <f t="shared" si="20"/>
        <v>0</v>
      </c>
      <c r="S50" s="796">
        <f t="shared" si="11"/>
        <v>0</v>
      </c>
    </row>
    <row r="51" spans="1:19">
      <c r="A51" s="961"/>
      <c r="B51" s="136"/>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0</v>
      </c>
      <c r="R51" s="487">
        <f t="shared" si="20"/>
        <v>0</v>
      </c>
      <c r="S51" s="796">
        <f t="shared" si="11"/>
        <v>0</v>
      </c>
    </row>
    <row r="52" spans="1:19">
      <c r="A52" s="961"/>
      <c r="B52" s="136"/>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0</v>
      </c>
      <c r="R52" s="487">
        <f t="shared" si="20"/>
        <v>0</v>
      </c>
      <c r="S52" s="796">
        <f t="shared" si="11"/>
        <v>0</v>
      </c>
    </row>
    <row r="53" spans="1:19">
      <c r="A53" s="961"/>
      <c r="B53" s="136"/>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0</v>
      </c>
      <c r="R53" s="487">
        <f t="shared" si="20"/>
        <v>0</v>
      </c>
      <c r="S53" s="796">
        <f t="shared" si="11"/>
        <v>0</v>
      </c>
    </row>
    <row r="54" spans="1:19">
      <c r="A54" s="961"/>
      <c r="B54" s="136"/>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0</v>
      </c>
      <c r="R54" s="487">
        <f t="shared" si="20"/>
        <v>0</v>
      </c>
      <c r="S54" s="796">
        <f t="shared" si="11"/>
        <v>0</v>
      </c>
    </row>
    <row r="55" spans="1:19">
      <c r="A55" s="961"/>
      <c r="B55" s="136"/>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0</v>
      </c>
      <c r="R55" s="487">
        <f t="shared" si="20"/>
        <v>0</v>
      </c>
      <c r="S55" s="796">
        <f t="shared" ref="S55:S77" si="21">ROUND(R55*B55/10000,0)</f>
        <v>0</v>
      </c>
    </row>
    <row r="56" spans="1:19">
      <c r="A56" s="961"/>
      <c r="B56" s="136"/>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0</v>
      </c>
      <c r="R56" s="487">
        <f t="shared" si="20"/>
        <v>0</v>
      </c>
      <c r="S56" s="796">
        <f t="shared" si="21"/>
        <v>0</v>
      </c>
    </row>
    <row r="57" spans="1:19">
      <c r="A57" s="961"/>
      <c r="B57" s="136"/>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0</v>
      </c>
      <c r="R57" s="487">
        <f t="shared" si="20"/>
        <v>0</v>
      </c>
      <c r="S57" s="796">
        <f t="shared" si="21"/>
        <v>0</v>
      </c>
    </row>
    <row r="58" spans="1:19">
      <c r="A58" s="961"/>
      <c r="B58" s="136"/>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0</v>
      </c>
      <c r="R58" s="487">
        <f t="shared" si="20"/>
        <v>0</v>
      </c>
      <c r="S58" s="796">
        <f t="shared" si="21"/>
        <v>0</v>
      </c>
    </row>
    <row r="59" spans="1:19">
      <c r="A59" s="961"/>
      <c r="B59" s="136"/>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0</v>
      </c>
      <c r="R59" s="487">
        <f t="shared" si="20"/>
        <v>0</v>
      </c>
      <c r="S59" s="796">
        <f t="shared" si="21"/>
        <v>0</v>
      </c>
    </row>
    <row r="60" spans="1:19">
      <c r="A60" s="961"/>
      <c r="B60" s="136"/>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0</v>
      </c>
      <c r="R60" s="487">
        <f t="shared" si="20"/>
        <v>0</v>
      </c>
      <c r="S60" s="796">
        <f t="shared" si="21"/>
        <v>0</v>
      </c>
    </row>
    <row r="61" spans="1:19">
      <c r="A61" s="961"/>
      <c r="B61" s="136"/>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0</v>
      </c>
      <c r="R61" s="487">
        <f t="shared" si="20"/>
        <v>0</v>
      </c>
      <c r="S61" s="796">
        <f t="shared" si="21"/>
        <v>0</v>
      </c>
    </row>
    <row r="62" spans="1:19">
      <c r="A62" s="961"/>
      <c r="B62" s="136"/>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0</v>
      </c>
      <c r="R62" s="487">
        <f t="shared" si="20"/>
        <v>0</v>
      </c>
      <c r="S62" s="796">
        <f t="shared" si="21"/>
        <v>0</v>
      </c>
    </row>
    <row r="63" spans="1:19">
      <c r="A63" s="961"/>
      <c r="B63" s="136"/>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0</v>
      </c>
      <c r="R63" s="487">
        <f t="shared" si="20"/>
        <v>0</v>
      </c>
      <c r="S63" s="796">
        <f t="shared" si="21"/>
        <v>0</v>
      </c>
    </row>
    <row r="64" spans="1:19">
      <c r="A64" s="961"/>
      <c r="B64" s="136"/>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0</v>
      </c>
      <c r="R64" s="487">
        <f t="shared" si="20"/>
        <v>0</v>
      </c>
      <c r="S64" s="796">
        <f t="shared" si="21"/>
        <v>0</v>
      </c>
    </row>
    <row r="65" spans="1:19">
      <c r="A65" s="961"/>
      <c r="B65" s="136"/>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0</v>
      </c>
      <c r="R65" s="487">
        <f t="shared" si="20"/>
        <v>0</v>
      </c>
      <c r="S65" s="796">
        <f t="shared" si="21"/>
        <v>0</v>
      </c>
    </row>
    <row r="66" spans="1:19">
      <c r="A66" s="961"/>
      <c r="B66" s="136"/>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0</v>
      </c>
      <c r="R66" s="487">
        <f t="shared" si="20"/>
        <v>0</v>
      </c>
      <c r="S66" s="796">
        <f t="shared" si="21"/>
        <v>0</v>
      </c>
    </row>
    <row r="67" spans="1:19">
      <c r="A67" s="961"/>
      <c r="B67" s="136"/>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0</v>
      </c>
      <c r="R67" s="487">
        <f t="shared" si="20"/>
        <v>0</v>
      </c>
      <c r="S67" s="796">
        <f t="shared" si="21"/>
        <v>0</v>
      </c>
    </row>
    <row r="68" spans="1:19">
      <c r="A68" s="961"/>
      <c r="B68" s="136"/>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0</v>
      </c>
      <c r="R68" s="487">
        <f t="shared" si="20"/>
        <v>0</v>
      </c>
      <c r="S68" s="796">
        <f t="shared" si="21"/>
        <v>0</v>
      </c>
    </row>
    <row r="69" spans="1:19">
      <c r="A69" s="961"/>
      <c r="B69" s="136"/>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0</v>
      </c>
      <c r="R69" s="487">
        <f t="shared" si="20"/>
        <v>0</v>
      </c>
      <c r="S69" s="796">
        <f t="shared" si="21"/>
        <v>0</v>
      </c>
    </row>
    <row r="70" spans="1:19">
      <c r="A70" s="961"/>
      <c r="B70" s="136"/>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0</v>
      </c>
      <c r="R70" s="487">
        <f t="shared" si="20"/>
        <v>0</v>
      </c>
      <c r="S70" s="796">
        <f t="shared" si="21"/>
        <v>0</v>
      </c>
    </row>
    <row r="71" spans="1:19">
      <c r="A71" s="961"/>
      <c r="B71" s="136"/>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0</v>
      </c>
      <c r="R71" s="487">
        <f t="shared" si="20"/>
        <v>0</v>
      </c>
      <c r="S71" s="796">
        <f t="shared" si="21"/>
        <v>0</v>
      </c>
    </row>
    <row r="72" spans="1:19">
      <c r="A72" s="961"/>
      <c r="B72" s="136"/>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0</v>
      </c>
      <c r="R72" s="487">
        <f t="shared" si="20"/>
        <v>0</v>
      </c>
      <c r="S72" s="796">
        <f t="shared" si="21"/>
        <v>0</v>
      </c>
    </row>
    <row r="73" spans="1:19">
      <c r="A73" s="961"/>
      <c r="B73" s="136"/>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0</v>
      </c>
      <c r="R73" s="487">
        <f t="shared" si="20"/>
        <v>0</v>
      </c>
      <c r="S73" s="796">
        <f t="shared" si="21"/>
        <v>0</v>
      </c>
    </row>
    <row r="74" spans="1:19">
      <c r="A74" s="961"/>
      <c r="B74" s="136"/>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0</v>
      </c>
      <c r="R74" s="487">
        <f t="shared" si="20"/>
        <v>0</v>
      </c>
      <c r="S74" s="796">
        <f t="shared" si="21"/>
        <v>0</v>
      </c>
    </row>
    <row r="75" spans="1:19">
      <c r="A75" s="961"/>
      <c r="B75" s="136"/>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0</v>
      </c>
      <c r="R75" s="487">
        <f t="shared" si="20"/>
        <v>0</v>
      </c>
      <c r="S75" s="796">
        <f t="shared" si="21"/>
        <v>0</v>
      </c>
    </row>
    <row r="76" spans="1:19">
      <c r="A76" s="961"/>
      <c r="B76" s="136"/>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0</v>
      </c>
      <c r="R76" s="487">
        <f t="shared" si="20"/>
        <v>0</v>
      </c>
      <c r="S76" s="796">
        <f t="shared" si="21"/>
        <v>0</v>
      </c>
    </row>
    <row r="77" spans="1:19">
      <c r="A77" s="961"/>
      <c r="B77" s="136"/>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0</v>
      </c>
      <c r="R77" s="487">
        <f t="shared" si="20"/>
        <v>0</v>
      </c>
      <c r="S77" s="796">
        <f t="shared" si="21"/>
        <v>0</v>
      </c>
    </row>
    <row r="78" spans="1:19">
      <c r="A78" s="961"/>
      <c r="B78" s="136"/>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0</v>
      </c>
      <c r="R78" s="487">
        <f t="shared" si="20"/>
        <v>0</v>
      </c>
      <c r="S78" s="796">
        <f t="shared" ref="S78:S122" si="22">ROUND(R78*B78/10000,0)</f>
        <v>0</v>
      </c>
    </row>
    <row r="79" spans="1:19">
      <c r="A79" s="961"/>
      <c r="B79" s="136"/>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0</v>
      </c>
      <c r="R79" s="487">
        <f t="shared" si="20"/>
        <v>0</v>
      </c>
      <c r="S79" s="796">
        <f t="shared" si="22"/>
        <v>0</v>
      </c>
    </row>
    <row r="80" spans="1:19">
      <c r="A80" s="961"/>
      <c r="B80" s="136"/>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0</v>
      </c>
      <c r="R80" s="487">
        <f t="shared" si="20"/>
        <v>0</v>
      </c>
      <c r="S80" s="796">
        <f t="shared" si="22"/>
        <v>0</v>
      </c>
    </row>
    <row r="81" spans="1:19">
      <c r="A81" s="961"/>
      <c r="B81" s="136"/>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0</v>
      </c>
      <c r="R81" s="487">
        <f t="shared" si="20"/>
        <v>0</v>
      </c>
      <c r="S81" s="796">
        <f t="shared" si="22"/>
        <v>0</v>
      </c>
    </row>
    <row r="82" spans="1:19">
      <c r="A82" s="961"/>
      <c r="B82" s="136"/>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0</v>
      </c>
      <c r="R82" s="487">
        <f t="shared" si="20"/>
        <v>0</v>
      </c>
      <c r="S82" s="796">
        <f t="shared" si="22"/>
        <v>0</v>
      </c>
    </row>
    <row r="83" spans="1:19">
      <c r="A83" s="961"/>
      <c r="B83" s="136"/>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0</v>
      </c>
      <c r="R83" s="487">
        <f t="shared" si="20"/>
        <v>0</v>
      </c>
      <c r="S83" s="796">
        <f t="shared" si="22"/>
        <v>0</v>
      </c>
    </row>
    <row r="84" spans="1:19">
      <c r="A84" s="961"/>
      <c r="B84" s="136"/>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0</v>
      </c>
      <c r="R84" s="487">
        <f t="shared" si="20"/>
        <v>0</v>
      </c>
      <c r="S84" s="796">
        <f t="shared" si="22"/>
        <v>0</v>
      </c>
    </row>
    <row r="85" spans="1:19">
      <c r="A85" s="961"/>
      <c r="B85" s="136"/>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0</v>
      </c>
      <c r="R85" s="487">
        <f t="shared" si="20"/>
        <v>0</v>
      </c>
      <c r="S85" s="796">
        <f t="shared" si="22"/>
        <v>0</v>
      </c>
    </row>
    <row r="86" spans="1:19">
      <c r="A86" s="961"/>
      <c r="B86" s="136"/>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0</v>
      </c>
      <c r="R86" s="487">
        <f t="shared" si="20"/>
        <v>0</v>
      </c>
      <c r="S86" s="796">
        <f t="shared" si="22"/>
        <v>0</v>
      </c>
    </row>
    <row r="87" spans="1:19">
      <c r="A87" s="961"/>
      <c r="B87" s="136"/>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0</v>
      </c>
      <c r="R87" s="487">
        <f t="shared" si="20"/>
        <v>0</v>
      </c>
      <c r="S87" s="796">
        <f t="shared" si="22"/>
        <v>0</v>
      </c>
    </row>
    <row r="88" spans="1:19">
      <c r="A88" s="961"/>
      <c r="B88" s="136"/>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0</v>
      </c>
      <c r="R88" s="487">
        <f t="shared" si="20"/>
        <v>0</v>
      </c>
      <c r="S88" s="796">
        <f t="shared" si="22"/>
        <v>0</v>
      </c>
    </row>
    <row r="89" spans="1:19">
      <c r="A89" s="961"/>
      <c r="B89" s="136"/>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0</v>
      </c>
      <c r="R89" s="487">
        <f t="shared" si="20"/>
        <v>0</v>
      </c>
      <c r="S89" s="796">
        <f t="shared" si="22"/>
        <v>0</v>
      </c>
    </row>
    <row r="90" spans="1:19">
      <c r="A90" s="961"/>
      <c r="B90" s="136"/>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0</v>
      </c>
      <c r="R90" s="487">
        <f t="shared" ref="R90:R153" si="31">IF(B90="",0,ROUND($R$24*C90*E90*G90*I90*K90*M90*O90*Q90,0))</f>
        <v>0</v>
      </c>
      <c r="S90" s="796">
        <f t="shared" si="22"/>
        <v>0</v>
      </c>
    </row>
    <row r="91" spans="1:19">
      <c r="A91" s="961"/>
      <c r="B91" s="136"/>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0</v>
      </c>
      <c r="R91" s="487">
        <f t="shared" si="31"/>
        <v>0</v>
      </c>
      <c r="S91" s="796">
        <f t="shared" si="22"/>
        <v>0</v>
      </c>
    </row>
    <row r="92" spans="1:19">
      <c r="A92" s="961"/>
      <c r="B92" s="136"/>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0</v>
      </c>
      <c r="R92" s="487">
        <f t="shared" si="31"/>
        <v>0</v>
      </c>
      <c r="S92" s="796">
        <f t="shared" si="22"/>
        <v>0</v>
      </c>
    </row>
    <row r="93" spans="1:19">
      <c r="A93" s="961"/>
      <c r="B93" s="136"/>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0</v>
      </c>
      <c r="R93" s="487">
        <f t="shared" si="31"/>
        <v>0</v>
      </c>
      <c r="S93" s="796">
        <f t="shared" si="22"/>
        <v>0</v>
      </c>
    </row>
    <row r="94" spans="1:19">
      <c r="A94" s="961"/>
      <c r="B94" s="136"/>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0</v>
      </c>
      <c r="R94" s="487">
        <f t="shared" si="31"/>
        <v>0</v>
      </c>
      <c r="S94" s="796">
        <f t="shared" si="22"/>
        <v>0</v>
      </c>
    </row>
    <row r="95" spans="1:19">
      <c r="A95" s="961"/>
      <c r="B95" s="136"/>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0</v>
      </c>
      <c r="R95" s="487">
        <f t="shared" si="31"/>
        <v>0</v>
      </c>
      <c r="S95" s="796">
        <f t="shared" si="22"/>
        <v>0</v>
      </c>
    </row>
    <row r="96" spans="1:19">
      <c r="A96" s="961"/>
      <c r="B96" s="136"/>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0</v>
      </c>
      <c r="R96" s="487">
        <f t="shared" si="31"/>
        <v>0</v>
      </c>
      <c r="S96" s="796">
        <f t="shared" si="22"/>
        <v>0</v>
      </c>
    </row>
    <row r="97" spans="1:19">
      <c r="A97" s="961"/>
      <c r="B97" s="136"/>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0</v>
      </c>
      <c r="R97" s="487">
        <f t="shared" si="31"/>
        <v>0</v>
      </c>
      <c r="S97" s="796">
        <f t="shared" si="22"/>
        <v>0</v>
      </c>
    </row>
    <row r="98" spans="1:19">
      <c r="A98" s="961"/>
      <c r="B98" s="136"/>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0</v>
      </c>
      <c r="R98" s="487">
        <f t="shared" si="31"/>
        <v>0</v>
      </c>
      <c r="S98" s="796">
        <f t="shared" si="22"/>
        <v>0</v>
      </c>
    </row>
    <row r="99" spans="1:19">
      <c r="A99" s="961"/>
      <c r="B99" s="136"/>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0</v>
      </c>
      <c r="R99" s="487">
        <f t="shared" si="31"/>
        <v>0</v>
      </c>
      <c r="S99" s="796">
        <f t="shared" si="22"/>
        <v>0</v>
      </c>
    </row>
    <row r="100" spans="1:19">
      <c r="A100" s="961"/>
      <c r="B100" s="136"/>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0</v>
      </c>
      <c r="R100" s="487">
        <f t="shared" si="31"/>
        <v>0</v>
      </c>
      <c r="S100" s="796">
        <f t="shared" si="22"/>
        <v>0</v>
      </c>
    </row>
    <row r="101" spans="1:19">
      <c r="A101" s="961"/>
      <c r="B101" s="136"/>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0</v>
      </c>
      <c r="R101" s="487">
        <f t="shared" si="31"/>
        <v>0</v>
      </c>
      <c r="S101" s="796">
        <f t="shared" si="22"/>
        <v>0</v>
      </c>
    </row>
    <row r="102" spans="1:19">
      <c r="A102" s="961"/>
      <c r="B102" s="136"/>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0</v>
      </c>
      <c r="R102" s="487">
        <f t="shared" si="31"/>
        <v>0</v>
      </c>
      <c r="S102" s="796">
        <f t="shared" si="22"/>
        <v>0</v>
      </c>
    </row>
    <row r="103" spans="1:19">
      <c r="A103" s="961"/>
      <c r="B103" s="136"/>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0</v>
      </c>
      <c r="R103" s="487">
        <f t="shared" si="31"/>
        <v>0</v>
      </c>
      <c r="S103" s="796">
        <f t="shared" si="22"/>
        <v>0</v>
      </c>
    </row>
    <row r="104" spans="1:19">
      <c r="A104" s="961"/>
      <c r="B104" s="136"/>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0</v>
      </c>
      <c r="R104" s="487">
        <f t="shared" si="31"/>
        <v>0</v>
      </c>
      <c r="S104" s="796">
        <f t="shared" si="22"/>
        <v>0</v>
      </c>
    </row>
    <row r="105" spans="1:19">
      <c r="A105" s="961"/>
      <c r="B105" s="136"/>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0</v>
      </c>
      <c r="R105" s="487">
        <f t="shared" si="31"/>
        <v>0</v>
      </c>
      <c r="S105" s="796">
        <f t="shared" si="22"/>
        <v>0</v>
      </c>
    </row>
    <row r="106" spans="1:19">
      <c r="A106" s="961"/>
      <c r="B106" s="136"/>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0</v>
      </c>
      <c r="R106" s="487">
        <f t="shared" si="31"/>
        <v>0</v>
      </c>
      <c r="S106" s="796">
        <f t="shared" si="22"/>
        <v>0</v>
      </c>
    </row>
    <row r="107" spans="1:19">
      <c r="A107" s="961"/>
      <c r="B107" s="136"/>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0</v>
      </c>
      <c r="R107" s="487">
        <f t="shared" si="31"/>
        <v>0</v>
      </c>
      <c r="S107" s="796">
        <f t="shared" si="22"/>
        <v>0</v>
      </c>
    </row>
    <row r="108" spans="1:19">
      <c r="A108" s="961"/>
      <c r="B108" s="136"/>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0</v>
      </c>
      <c r="R108" s="487">
        <f t="shared" si="31"/>
        <v>0</v>
      </c>
      <c r="S108" s="796">
        <f t="shared" si="22"/>
        <v>0</v>
      </c>
    </row>
    <row r="109" spans="1:19">
      <c r="A109" s="961"/>
      <c r="B109" s="136"/>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0</v>
      </c>
      <c r="R109" s="487">
        <f t="shared" si="31"/>
        <v>0</v>
      </c>
      <c r="S109" s="796">
        <f t="shared" si="22"/>
        <v>0</v>
      </c>
    </row>
    <row r="110" spans="1:19">
      <c r="A110" s="961"/>
      <c r="B110" s="136"/>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0</v>
      </c>
      <c r="R110" s="487">
        <f t="shared" si="31"/>
        <v>0</v>
      </c>
      <c r="S110" s="796">
        <f t="shared" si="22"/>
        <v>0</v>
      </c>
    </row>
    <row r="111" spans="1:19">
      <c r="A111" s="961"/>
      <c r="B111" s="136"/>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0</v>
      </c>
      <c r="R111" s="487">
        <f t="shared" si="31"/>
        <v>0</v>
      </c>
      <c r="S111" s="796">
        <f t="shared" si="22"/>
        <v>0</v>
      </c>
    </row>
    <row r="112" spans="1:19">
      <c r="A112" s="961"/>
      <c r="B112" s="136"/>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0</v>
      </c>
      <c r="R112" s="487">
        <f t="shared" si="31"/>
        <v>0</v>
      </c>
      <c r="S112" s="796">
        <f t="shared" si="22"/>
        <v>0</v>
      </c>
    </row>
    <row r="113" spans="1:19">
      <c r="A113" s="961"/>
      <c r="B113" s="136"/>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0</v>
      </c>
      <c r="R113" s="487">
        <f t="shared" si="31"/>
        <v>0</v>
      </c>
      <c r="S113" s="796">
        <f t="shared" si="22"/>
        <v>0</v>
      </c>
    </row>
    <row r="114" spans="1:19">
      <c r="A114" s="961"/>
      <c r="B114" s="136"/>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0</v>
      </c>
      <c r="R114" s="487">
        <f t="shared" si="31"/>
        <v>0</v>
      </c>
      <c r="S114" s="796">
        <f t="shared" si="22"/>
        <v>0</v>
      </c>
    </row>
    <row r="115" spans="1:19">
      <c r="A115" s="961"/>
      <c r="B115" s="136"/>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0</v>
      </c>
      <c r="R115" s="487">
        <f t="shared" si="31"/>
        <v>0</v>
      </c>
      <c r="S115" s="796">
        <f t="shared" si="22"/>
        <v>0</v>
      </c>
    </row>
    <row r="116" spans="1:19">
      <c r="A116" s="961"/>
      <c r="B116" s="136"/>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0</v>
      </c>
      <c r="R116" s="487">
        <f t="shared" si="31"/>
        <v>0</v>
      </c>
      <c r="S116" s="796">
        <f t="shared" si="22"/>
        <v>0</v>
      </c>
    </row>
    <row r="117" spans="1:19">
      <c r="A117" s="961"/>
      <c r="B117" s="136"/>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0</v>
      </c>
      <c r="R117" s="487">
        <f t="shared" si="31"/>
        <v>0</v>
      </c>
      <c r="S117" s="796">
        <f t="shared" si="22"/>
        <v>0</v>
      </c>
    </row>
    <row r="118" spans="1:19">
      <c r="A118" s="961"/>
      <c r="B118" s="136"/>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0</v>
      </c>
      <c r="R118" s="487">
        <f t="shared" si="31"/>
        <v>0</v>
      </c>
      <c r="S118" s="796">
        <f t="shared" si="22"/>
        <v>0</v>
      </c>
    </row>
    <row r="119" spans="1:19">
      <c r="A119" s="961"/>
      <c r="B119" s="136"/>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0</v>
      </c>
      <c r="R119" s="487">
        <f t="shared" si="31"/>
        <v>0</v>
      </c>
      <c r="S119" s="796">
        <f t="shared" si="22"/>
        <v>0</v>
      </c>
    </row>
    <row r="120" spans="1:19">
      <c r="A120" s="961"/>
      <c r="B120" s="136"/>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0</v>
      </c>
      <c r="R120" s="487">
        <f t="shared" si="31"/>
        <v>0</v>
      </c>
      <c r="S120" s="796">
        <f t="shared" si="22"/>
        <v>0</v>
      </c>
    </row>
    <row r="121" spans="1:19">
      <c r="A121" s="961"/>
      <c r="B121" s="136"/>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0</v>
      </c>
      <c r="R121" s="487">
        <f t="shared" si="31"/>
        <v>0</v>
      </c>
      <c r="S121" s="796">
        <f t="shared" si="22"/>
        <v>0</v>
      </c>
    </row>
    <row r="122" spans="1:19">
      <c r="A122" s="961"/>
      <c r="B122" s="136"/>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0</v>
      </c>
      <c r="R122" s="487">
        <f t="shared" si="31"/>
        <v>0</v>
      </c>
      <c r="S122" s="796">
        <f t="shared" si="22"/>
        <v>0</v>
      </c>
    </row>
    <row r="123" spans="1:19">
      <c r="A123" s="961"/>
      <c r="B123" s="136"/>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0</v>
      </c>
      <c r="R123" s="487">
        <f t="shared" si="31"/>
        <v>0</v>
      </c>
      <c r="S123" s="796">
        <f t="shared" ref="S123:S186" si="32">ROUND(R123*B123/10000,0)</f>
        <v>0</v>
      </c>
    </row>
    <row r="124" spans="1:19">
      <c r="A124" s="961"/>
      <c r="B124" s="136"/>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0</v>
      </c>
      <c r="R124" s="487">
        <f t="shared" si="31"/>
        <v>0</v>
      </c>
      <c r="S124" s="796">
        <f t="shared" si="32"/>
        <v>0</v>
      </c>
    </row>
    <row r="125" spans="1:19">
      <c r="A125" s="961"/>
      <c r="B125" s="136"/>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0</v>
      </c>
      <c r="R125" s="487">
        <f t="shared" si="31"/>
        <v>0</v>
      </c>
      <c r="S125" s="796">
        <f t="shared" si="32"/>
        <v>0</v>
      </c>
    </row>
    <row r="126" spans="1:19">
      <c r="A126" s="961"/>
      <c r="B126" s="136"/>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0</v>
      </c>
      <c r="R126" s="487">
        <f t="shared" si="31"/>
        <v>0</v>
      </c>
      <c r="S126" s="796">
        <f t="shared" si="32"/>
        <v>0</v>
      </c>
    </row>
    <row r="127" spans="1:19">
      <c r="A127" s="961"/>
      <c r="B127" s="136"/>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0</v>
      </c>
      <c r="R127" s="487">
        <f t="shared" si="31"/>
        <v>0</v>
      </c>
      <c r="S127" s="796">
        <f t="shared" si="32"/>
        <v>0</v>
      </c>
    </row>
    <row r="128" spans="1:19">
      <c r="A128" s="961"/>
      <c r="B128" s="136"/>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0</v>
      </c>
      <c r="R128" s="487">
        <f t="shared" si="31"/>
        <v>0</v>
      </c>
      <c r="S128" s="796">
        <f t="shared" si="32"/>
        <v>0</v>
      </c>
    </row>
    <row r="129" spans="1:19">
      <c r="A129" s="961"/>
      <c r="B129" s="136"/>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0</v>
      </c>
      <c r="R129" s="487">
        <f t="shared" si="31"/>
        <v>0</v>
      </c>
      <c r="S129" s="796">
        <f t="shared" si="32"/>
        <v>0</v>
      </c>
    </row>
    <row r="130" spans="1:19">
      <c r="A130" s="961"/>
      <c r="B130" s="136"/>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0</v>
      </c>
      <c r="R130" s="487">
        <f t="shared" si="31"/>
        <v>0</v>
      </c>
      <c r="S130" s="796">
        <f t="shared" si="32"/>
        <v>0</v>
      </c>
    </row>
    <row r="131" spans="1:19">
      <c r="A131" s="961"/>
      <c r="B131" s="136"/>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0</v>
      </c>
      <c r="R131" s="487">
        <f t="shared" si="31"/>
        <v>0</v>
      </c>
      <c r="S131" s="796">
        <f t="shared" si="32"/>
        <v>0</v>
      </c>
    </row>
    <row r="132" spans="1:19">
      <c r="A132" s="961"/>
      <c r="B132" s="136"/>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0</v>
      </c>
      <c r="R132" s="487">
        <f t="shared" si="31"/>
        <v>0</v>
      </c>
      <c r="S132" s="796">
        <f t="shared" si="32"/>
        <v>0</v>
      </c>
    </row>
    <row r="133" spans="1:19">
      <c r="A133" s="961"/>
      <c r="B133" s="136"/>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0</v>
      </c>
      <c r="R133" s="487">
        <f t="shared" si="31"/>
        <v>0</v>
      </c>
      <c r="S133" s="796">
        <f t="shared" si="32"/>
        <v>0</v>
      </c>
    </row>
    <row r="134" spans="1:19">
      <c r="A134" s="961"/>
      <c r="B134" s="136"/>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0</v>
      </c>
      <c r="R134" s="487">
        <f t="shared" si="31"/>
        <v>0</v>
      </c>
      <c r="S134" s="796">
        <f t="shared" si="32"/>
        <v>0</v>
      </c>
    </row>
    <row r="135" spans="1:19">
      <c r="A135" s="961"/>
      <c r="B135" s="136"/>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0</v>
      </c>
      <c r="R135" s="487">
        <f t="shared" si="31"/>
        <v>0</v>
      </c>
      <c r="S135" s="796">
        <f t="shared" si="32"/>
        <v>0</v>
      </c>
    </row>
    <row r="136" spans="1:19">
      <c r="A136" s="961"/>
      <c r="B136" s="136"/>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0</v>
      </c>
      <c r="R136" s="487">
        <f t="shared" si="31"/>
        <v>0</v>
      </c>
      <c r="S136" s="796">
        <f t="shared" si="32"/>
        <v>0</v>
      </c>
    </row>
    <row r="137" spans="1:19">
      <c r="A137" s="961"/>
      <c r="B137" s="136"/>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0</v>
      </c>
      <c r="R137" s="487">
        <f t="shared" si="31"/>
        <v>0</v>
      </c>
      <c r="S137" s="796">
        <f t="shared" si="32"/>
        <v>0</v>
      </c>
    </row>
    <row r="138" spans="1:19">
      <c r="A138" s="961"/>
      <c r="B138" s="136"/>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0</v>
      </c>
      <c r="R138" s="487">
        <f t="shared" si="31"/>
        <v>0</v>
      </c>
      <c r="S138" s="796">
        <f t="shared" si="32"/>
        <v>0</v>
      </c>
    </row>
    <row r="139" spans="1:19">
      <c r="A139" s="961"/>
      <c r="B139" s="136"/>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0</v>
      </c>
      <c r="R139" s="487">
        <f t="shared" si="31"/>
        <v>0</v>
      </c>
      <c r="S139" s="796">
        <f t="shared" si="32"/>
        <v>0</v>
      </c>
    </row>
    <row r="140" spans="1:19">
      <c r="A140" s="961"/>
      <c r="B140" s="136"/>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0</v>
      </c>
      <c r="R140" s="487">
        <f t="shared" si="31"/>
        <v>0</v>
      </c>
      <c r="S140" s="796">
        <f t="shared" si="32"/>
        <v>0</v>
      </c>
    </row>
    <row r="141" spans="1:19">
      <c r="A141" s="961"/>
      <c r="B141" s="136"/>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0</v>
      </c>
      <c r="R141" s="487">
        <f t="shared" si="31"/>
        <v>0</v>
      </c>
      <c r="S141" s="796">
        <f t="shared" si="32"/>
        <v>0</v>
      </c>
    </row>
    <row r="142" spans="1:19">
      <c r="A142" s="961"/>
      <c r="B142" s="136"/>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0</v>
      </c>
      <c r="R142" s="487">
        <f t="shared" si="31"/>
        <v>0</v>
      </c>
      <c r="S142" s="796">
        <f t="shared" si="32"/>
        <v>0</v>
      </c>
    </row>
    <row r="143" spans="1:19">
      <c r="A143" s="961"/>
      <c r="B143" s="136"/>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0</v>
      </c>
      <c r="R143" s="487">
        <f t="shared" si="31"/>
        <v>0</v>
      </c>
      <c r="S143" s="796">
        <f t="shared" si="32"/>
        <v>0</v>
      </c>
    </row>
    <row r="144" spans="1:19">
      <c r="A144" s="961"/>
      <c r="B144" s="136"/>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0</v>
      </c>
      <c r="R144" s="487">
        <f t="shared" si="31"/>
        <v>0</v>
      </c>
      <c r="S144" s="796">
        <f t="shared" si="32"/>
        <v>0</v>
      </c>
    </row>
    <row r="145" spans="1:19">
      <c r="A145" s="961"/>
      <c r="B145" s="136"/>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0</v>
      </c>
      <c r="R145" s="487">
        <f t="shared" si="31"/>
        <v>0</v>
      </c>
      <c r="S145" s="796">
        <f t="shared" si="32"/>
        <v>0</v>
      </c>
    </row>
    <row r="146" spans="1:19">
      <c r="A146" s="961"/>
      <c r="B146" s="136"/>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0</v>
      </c>
      <c r="R146" s="487">
        <f t="shared" si="31"/>
        <v>0</v>
      </c>
      <c r="S146" s="796">
        <f t="shared" si="32"/>
        <v>0</v>
      </c>
    </row>
    <row r="147" spans="1:19">
      <c r="A147" s="961"/>
      <c r="B147" s="136"/>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0</v>
      </c>
      <c r="R147" s="487">
        <f t="shared" si="31"/>
        <v>0</v>
      </c>
      <c r="S147" s="796">
        <f t="shared" si="32"/>
        <v>0</v>
      </c>
    </row>
    <row r="148" spans="1:19">
      <c r="A148" s="961"/>
      <c r="B148" s="136"/>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0</v>
      </c>
      <c r="R148" s="487">
        <f t="shared" si="31"/>
        <v>0</v>
      </c>
      <c r="S148" s="796">
        <f t="shared" si="32"/>
        <v>0</v>
      </c>
    </row>
    <row r="149" spans="1:19">
      <c r="A149" s="961"/>
      <c r="B149" s="136"/>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0</v>
      </c>
      <c r="R149" s="487">
        <f t="shared" si="31"/>
        <v>0</v>
      </c>
      <c r="S149" s="796">
        <f t="shared" si="32"/>
        <v>0</v>
      </c>
    </row>
    <row r="150" spans="1:19">
      <c r="A150" s="961"/>
      <c r="B150" s="136"/>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0</v>
      </c>
      <c r="R150" s="487">
        <f t="shared" si="31"/>
        <v>0</v>
      </c>
      <c r="S150" s="796">
        <f t="shared" si="32"/>
        <v>0</v>
      </c>
    </row>
    <row r="151" spans="1:19">
      <c r="A151" s="961"/>
      <c r="B151" s="136"/>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0</v>
      </c>
      <c r="R151" s="487">
        <f t="shared" si="31"/>
        <v>0</v>
      </c>
      <c r="S151" s="796">
        <f t="shared" si="32"/>
        <v>0</v>
      </c>
    </row>
    <row r="152" spans="1:19">
      <c r="A152" s="961"/>
      <c r="B152" s="136"/>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0</v>
      </c>
      <c r="R152" s="487">
        <f t="shared" si="31"/>
        <v>0</v>
      </c>
      <c r="S152" s="796">
        <f t="shared" si="32"/>
        <v>0</v>
      </c>
    </row>
    <row r="153" spans="1:19">
      <c r="A153" s="961"/>
      <c r="B153" s="136"/>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0</v>
      </c>
      <c r="R153" s="487">
        <f t="shared" si="31"/>
        <v>0</v>
      </c>
      <c r="S153" s="796">
        <f t="shared" si="32"/>
        <v>0</v>
      </c>
    </row>
    <row r="154" spans="1:19">
      <c r="A154" s="961"/>
      <c r="B154" s="136"/>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0</v>
      </c>
      <c r="R154" s="487">
        <f t="shared" ref="R154:R217" si="41">IF(B154="",0,ROUND($R$24*C154*E154*G154*I154*K154*M154*O154*Q154,0))</f>
        <v>0</v>
      </c>
      <c r="S154" s="796">
        <f t="shared" si="32"/>
        <v>0</v>
      </c>
    </row>
    <row r="155" spans="1:19">
      <c r="A155" s="961"/>
      <c r="B155" s="136"/>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0</v>
      </c>
      <c r="R155" s="487">
        <f t="shared" si="41"/>
        <v>0</v>
      </c>
      <c r="S155" s="796">
        <f t="shared" si="32"/>
        <v>0</v>
      </c>
    </row>
    <row r="156" spans="1:19">
      <c r="A156" s="961"/>
      <c r="B156" s="136"/>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0</v>
      </c>
      <c r="R156" s="487">
        <f t="shared" si="41"/>
        <v>0</v>
      </c>
      <c r="S156" s="796">
        <f t="shared" si="32"/>
        <v>0</v>
      </c>
    </row>
    <row r="157" spans="1:19">
      <c r="A157" s="961"/>
      <c r="B157" s="136"/>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0</v>
      </c>
      <c r="R157" s="487">
        <f t="shared" si="41"/>
        <v>0</v>
      </c>
      <c r="S157" s="796">
        <f t="shared" si="32"/>
        <v>0</v>
      </c>
    </row>
    <row r="158" spans="1:19">
      <c r="A158" s="961"/>
      <c r="B158" s="136"/>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0</v>
      </c>
      <c r="R158" s="487">
        <f t="shared" si="41"/>
        <v>0</v>
      </c>
      <c r="S158" s="796">
        <f t="shared" si="32"/>
        <v>0</v>
      </c>
    </row>
    <row r="159" spans="1:19">
      <c r="A159" s="961"/>
      <c r="B159" s="136"/>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0</v>
      </c>
      <c r="R159" s="487">
        <f t="shared" si="41"/>
        <v>0</v>
      </c>
      <c r="S159" s="796">
        <f t="shared" si="32"/>
        <v>0</v>
      </c>
    </row>
    <row r="160" spans="1:19">
      <c r="A160" s="961"/>
      <c r="B160" s="136"/>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0</v>
      </c>
      <c r="R160" s="487">
        <f t="shared" si="41"/>
        <v>0</v>
      </c>
      <c r="S160" s="796">
        <f t="shared" si="32"/>
        <v>0</v>
      </c>
    </row>
    <row r="161" spans="1:19">
      <c r="A161" s="961"/>
      <c r="B161" s="136"/>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0</v>
      </c>
      <c r="R161" s="487">
        <f t="shared" si="41"/>
        <v>0</v>
      </c>
      <c r="S161" s="796">
        <f t="shared" si="32"/>
        <v>0</v>
      </c>
    </row>
    <row r="162" spans="1:19">
      <c r="A162" s="961"/>
      <c r="B162" s="136"/>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0</v>
      </c>
      <c r="R162" s="487">
        <f t="shared" si="41"/>
        <v>0</v>
      </c>
      <c r="S162" s="796">
        <f t="shared" si="32"/>
        <v>0</v>
      </c>
    </row>
    <row r="163" spans="1:19">
      <c r="A163" s="961"/>
      <c r="B163" s="136"/>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0</v>
      </c>
      <c r="R163" s="487">
        <f t="shared" si="41"/>
        <v>0</v>
      </c>
      <c r="S163" s="796">
        <f t="shared" si="32"/>
        <v>0</v>
      </c>
    </row>
    <row r="164" spans="1:19">
      <c r="A164" s="961"/>
      <c r="B164" s="136"/>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0</v>
      </c>
      <c r="R164" s="487">
        <f t="shared" si="41"/>
        <v>0</v>
      </c>
      <c r="S164" s="796">
        <f t="shared" si="32"/>
        <v>0</v>
      </c>
    </row>
    <row r="165" spans="1:19">
      <c r="A165" s="961"/>
      <c r="B165" s="136"/>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0</v>
      </c>
      <c r="R165" s="487">
        <f t="shared" si="41"/>
        <v>0</v>
      </c>
      <c r="S165" s="796">
        <f t="shared" si="32"/>
        <v>0</v>
      </c>
    </row>
    <row r="166" spans="1:19">
      <c r="A166" s="961"/>
      <c r="B166" s="136"/>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0</v>
      </c>
      <c r="R166" s="487">
        <f t="shared" si="41"/>
        <v>0</v>
      </c>
      <c r="S166" s="796">
        <f t="shared" si="32"/>
        <v>0</v>
      </c>
    </row>
    <row r="167" spans="1:19">
      <c r="A167" s="961"/>
      <c r="B167" s="136"/>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0</v>
      </c>
      <c r="R167" s="487">
        <f t="shared" si="41"/>
        <v>0</v>
      </c>
      <c r="S167" s="796">
        <f t="shared" si="32"/>
        <v>0</v>
      </c>
    </row>
    <row r="168" spans="1:19">
      <c r="A168" s="961"/>
      <c r="B168" s="136"/>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0</v>
      </c>
      <c r="R168" s="487">
        <f t="shared" si="41"/>
        <v>0</v>
      </c>
      <c r="S168" s="796">
        <f t="shared" si="32"/>
        <v>0</v>
      </c>
    </row>
    <row r="169" spans="1:19">
      <c r="A169" s="961"/>
      <c r="B169" s="136"/>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0</v>
      </c>
      <c r="R169" s="487">
        <f t="shared" si="41"/>
        <v>0</v>
      </c>
      <c r="S169" s="796">
        <f t="shared" si="32"/>
        <v>0</v>
      </c>
    </row>
    <row r="170" spans="1:19">
      <c r="A170" s="961"/>
      <c r="B170" s="136"/>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0</v>
      </c>
      <c r="R170" s="487">
        <f t="shared" si="41"/>
        <v>0</v>
      </c>
      <c r="S170" s="796">
        <f t="shared" si="32"/>
        <v>0</v>
      </c>
    </row>
    <row r="171" spans="1:19">
      <c r="A171" s="961"/>
      <c r="B171" s="136"/>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0</v>
      </c>
      <c r="R171" s="487">
        <f t="shared" si="41"/>
        <v>0</v>
      </c>
      <c r="S171" s="796">
        <f t="shared" si="32"/>
        <v>0</v>
      </c>
    </row>
    <row r="172" spans="1:19">
      <c r="A172" s="961"/>
      <c r="B172" s="136"/>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0</v>
      </c>
      <c r="R172" s="487">
        <f t="shared" si="41"/>
        <v>0</v>
      </c>
      <c r="S172" s="796">
        <f t="shared" si="32"/>
        <v>0</v>
      </c>
    </row>
    <row r="173" spans="1:19">
      <c r="A173" s="961"/>
      <c r="B173" s="136"/>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0</v>
      </c>
      <c r="R173" s="487">
        <f t="shared" si="41"/>
        <v>0</v>
      </c>
      <c r="S173" s="796">
        <f t="shared" si="32"/>
        <v>0</v>
      </c>
    </row>
    <row r="174" spans="1:19">
      <c r="A174" s="961"/>
      <c r="B174" s="136"/>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0</v>
      </c>
      <c r="R174" s="487">
        <f t="shared" si="41"/>
        <v>0</v>
      </c>
      <c r="S174" s="796">
        <f t="shared" si="32"/>
        <v>0</v>
      </c>
    </row>
    <row r="175" spans="1:19">
      <c r="A175" s="961"/>
      <c r="B175" s="136"/>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0</v>
      </c>
      <c r="R175" s="487">
        <f t="shared" si="41"/>
        <v>0</v>
      </c>
      <c r="S175" s="796">
        <f t="shared" si="32"/>
        <v>0</v>
      </c>
    </row>
    <row r="176" spans="1:19">
      <c r="A176" s="961"/>
      <c r="B176" s="136"/>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0</v>
      </c>
      <c r="R176" s="487">
        <f t="shared" si="41"/>
        <v>0</v>
      </c>
      <c r="S176" s="796">
        <f t="shared" si="32"/>
        <v>0</v>
      </c>
    </row>
    <row r="177" spans="1:19">
      <c r="A177" s="961"/>
      <c r="B177" s="136"/>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0</v>
      </c>
      <c r="R177" s="487">
        <f t="shared" si="41"/>
        <v>0</v>
      </c>
      <c r="S177" s="796">
        <f t="shared" si="32"/>
        <v>0</v>
      </c>
    </row>
    <row r="178" spans="1:19">
      <c r="A178" s="961"/>
      <c r="B178" s="136"/>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0</v>
      </c>
      <c r="R178" s="487">
        <f t="shared" si="41"/>
        <v>0</v>
      </c>
      <c r="S178" s="796">
        <f t="shared" si="32"/>
        <v>0</v>
      </c>
    </row>
    <row r="179" spans="1:19">
      <c r="A179" s="961"/>
      <c r="B179" s="136"/>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0</v>
      </c>
      <c r="R179" s="487">
        <f t="shared" si="41"/>
        <v>0</v>
      </c>
      <c r="S179" s="796">
        <f t="shared" si="32"/>
        <v>0</v>
      </c>
    </row>
    <row r="180" spans="1:19">
      <c r="A180" s="961"/>
      <c r="B180" s="136"/>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0</v>
      </c>
      <c r="R180" s="487">
        <f t="shared" si="41"/>
        <v>0</v>
      </c>
      <c r="S180" s="796">
        <f t="shared" si="32"/>
        <v>0</v>
      </c>
    </row>
    <row r="181" spans="1:19">
      <c r="A181" s="961"/>
      <c r="B181" s="136"/>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0</v>
      </c>
      <c r="R181" s="487">
        <f t="shared" si="41"/>
        <v>0</v>
      </c>
      <c r="S181" s="796">
        <f t="shared" si="32"/>
        <v>0</v>
      </c>
    </row>
    <row r="182" spans="1:19">
      <c r="A182" s="961"/>
      <c r="B182" s="136"/>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0</v>
      </c>
      <c r="R182" s="487">
        <f t="shared" si="41"/>
        <v>0</v>
      </c>
      <c r="S182" s="796">
        <f t="shared" si="32"/>
        <v>0</v>
      </c>
    </row>
    <row r="183" spans="1:19">
      <c r="A183" s="961"/>
      <c r="B183" s="136"/>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0</v>
      </c>
      <c r="R183" s="487">
        <f t="shared" si="41"/>
        <v>0</v>
      </c>
      <c r="S183" s="796">
        <f t="shared" si="32"/>
        <v>0</v>
      </c>
    </row>
    <row r="184" spans="1:19">
      <c r="A184" s="961"/>
      <c r="B184" s="136"/>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0</v>
      </c>
      <c r="R184" s="487">
        <f t="shared" si="41"/>
        <v>0</v>
      </c>
      <c r="S184" s="796">
        <f t="shared" si="32"/>
        <v>0</v>
      </c>
    </row>
    <row r="185" spans="1:19">
      <c r="A185" s="961"/>
      <c r="B185" s="136"/>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0</v>
      </c>
      <c r="R185" s="487">
        <f t="shared" si="41"/>
        <v>0</v>
      </c>
      <c r="S185" s="796">
        <f t="shared" si="32"/>
        <v>0</v>
      </c>
    </row>
    <row r="186" spans="1:19">
      <c r="A186" s="961"/>
      <c r="B186" s="136"/>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0</v>
      </c>
      <c r="R186" s="487">
        <f t="shared" si="41"/>
        <v>0</v>
      </c>
      <c r="S186" s="796">
        <f t="shared" si="32"/>
        <v>0</v>
      </c>
    </row>
    <row r="187" spans="1:19">
      <c r="A187" s="961"/>
      <c r="B187" s="136"/>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0</v>
      </c>
      <c r="R187" s="487">
        <f t="shared" si="41"/>
        <v>0</v>
      </c>
      <c r="S187" s="796">
        <f t="shared" ref="S187:S222" si="42">ROUND(R187*B187/10000,0)</f>
        <v>0</v>
      </c>
    </row>
    <row r="188" spans="1:19">
      <c r="A188" s="961"/>
      <c r="B188" s="136"/>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0</v>
      </c>
      <c r="R188" s="487">
        <f t="shared" si="41"/>
        <v>0</v>
      </c>
      <c r="S188" s="796">
        <f t="shared" si="42"/>
        <v>0</v>
      </c>
    </row>
    <row r="189" spans="1:19">
      <c r="A189" s="961"/>
      <c r="B189" s="136"/>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0</v>
      </c>
      <c r="R189" s="487">
        <f t="shared" si="41"/>
        <v>0</v>
      </c>
      <c r="S189" s="796">
        <f t="shared" si="42"/>
        <v>0</v>
      </c>
    </row>
    <row r="190" spans="1:19">
      <c r="A190" s="961"/>
      <c r="B190" s="136"/>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0</v>
      </c>
      <c r="R190" s="487">
        <f t="shared" si="41"/>
        <v>0</v>
      </c>
      <c r="S190" s="796">
        <f t="shared" si="42"/>
        <v>0</v>
      </c>
    </row>
    <row r="191" spans="1:19">
      <c r="A191" s="961"/>
      <c r="B191" s="136"/>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0</v>
      </c>
      <c r="R191" s="487">
        <f t="shared" si="41"/>
        <v>0</v>
      </c>
      <c r="S191" s="796">
        <f t="shared" si="42"/>
        <v>0</v>
      </c>
    </row>
    <row r="192" spans="1:19">
      <c r="A192" s="961"/>
      <c r="B192" s="136"/>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0</v>
      </c>
      <c r="R192" s="487">
        <f t="shared" si="41"/>
        <v>0</v>
      </c>
      <c r="S192" s="796">
        <f t="shared" si="42"/>
        <v>0</v>
      </c>
    </row>
    <row r="193" spans="1:19">
      <c r="A193" s="961"/>
      <c r="B193" s="136"/>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0</v>
      </c>
      <c r="R193" s="487">
        <f t="shared" si="41"/>
        <v>0</v>
      </c>
      <c r="S193" s="796">
        <f t="shared" si="42"/>
        <v>0</v>
      </c>
    </row>
    <row r="194" spans="1:19">
      <c r="A194" s="961"/>
      <c r="B194" s="136"/>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0</v>
      </c>
      <c r="R194" s="487">
        <f t="shared" si="41"/>
        <v>0</v>
      </c>
      <c r="S194" s="796">
        <f t="shared" si="42"/>
        <v>0</v>
      </c>
    </row>
    <row r="195" spans="1:19">
      <c r="A195" s="961"/>
      <c r="B195" s="136"/>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0</v>
      </c>
      <c r="R195" s="487">
        <f t="shared" si="41"/>
        <v>0</v>
      </c>
      <c r="S195" s="796">
        <f t="shared" si="42"/>
        <v>0</v>
      </c>
    </row>
    <row r="196" spans="1:19">
      <c r="A196" s="961"/>
      <c r="B196" s="136"/>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0</v>
      </c>
      <c r="R196" s="487">
        <f t="shared" si="41"/>
        <v>0</v>
      </c>
      <c r="S196" s="796">
        <f t="shared" si="42"/>
        <v>0</v>
      </c>
    </row>
    <row r="197" spans="1:19">
      <c r="A197" s="961"/>
      <c r="B197" s="136"/>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0</v>
      </c>
      <c r="R197" s="487">
        <f t="shared" si="41"/>
        <v>0</v>
      </c>
      <c r="S197" s="796">
        <f t="shared" si="42"/>
        <v>0</v>
      </c>
    </row>
    <row r="198" spans="1:19">
      <c r="A198" s="961"/>
      <c r="B198" s="136"/>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0</v>
      </c>
      <c r="R198" s="487">
        <f t="shared" si="41"/>
        <v>0</v>
      </c>
      <c r="S198" s="796">
        <f t="shared" si="42"/>
        <v>0</v>
      </c>
    </row>
    <row r="199" spans="1:19">
      <c r="A199" s="961"/>
      <c r="B199" s="136"/>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0</v>
      </c>
      <c r="R199" s="487">
        <f t="shared" si="41"/>
        <v>0</v>
      </c>
      <c r="S199" s="796">
        <f t="shared" si="42"/>
        <v>0</v>
      </c>
    </row>
    <row r="200" spans="1:19">
      <c r="A200" s="961"/>
      <c r="B200" s="136"/>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0</v>
      </c>
      <c r="R200" s="487">
        <f t="shared" si="41"/>
        <v>0</v>
      </c>
      <c r="S200" s="796">
        <f t="shared" si="42"/>
        <v>0</v>
      </c>
    </row>
    <row r="201" spans="1:19">
      <c r="A201" s="961"/>
      <c r="B201" s="136"/>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0</v>
      </c>
      <c r="R201" s="487">
        <f t="shared" si="41"/>
        <v>0</v>
      </c>
      <c r="S201" s="796">
        <f t="shared" si="42"/>
        <v>0</v>
      </c>
    </row>
    <row r="202" spans="1:19">
      <c r="A202" s="961"/>
      <c r="B202" s="136"/>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0</v>
      </c>
      <c r="R202" s="487">
        <f t="shared" si="41"/>
        <v>0</v>
      </c>
      <c r="S202" s="796">
        <f t="shared" si="42"/>
        <v>0</v>
      </c>
    </row>
    <row r="203" spans="1:19">
      <c r="A203" s="961"/>
      <c r="B203" s="136"/>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0</v>
      </c>
      <c r="R203" s="487">
        <f t="shared" si="41"/>
        <v>0</v>
      </c>
      <c r="S203" s="796">
        <f t="shared" si="42"/>
        <v>0</v>
      </c>
    </row>
    <row r="204" spans="1:19">
      <c r="A204" s="961"/>
      <c r="B204" s="136"/>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0</v>
      </c>
      <c r="R204" s="487">
        <f t="shared" si="41"/>
        <v>0</v>
      </c>
      <c r="S204" s="796">
        <f t="shared" si="42"/>
        <v>0</v>
      </c>
    </row>
    <row r="205" spans="1:19">
      <c r="A205" s="961"/>
      <c r="B205" s="136"/>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0</v>
      </c>
      <c r="R205" s="487">
        <f t="shared" si="41"/>
        <v>0</v>
      </c>
      <c r="S205" s="796">
        <f t="shared" si="42"/>
        <v>0</v>
      </c>
    </row>
    <row r="206" spans="1:19">
      <c r="A206" s="961"/>
      <c r="B206" s="136"/>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0</v>
      </c>
      <c r="R206" s="487">
        <f t="shared" si="41"/>
        <v>0</v>
      </c>
      <c r="S206" s="796">
        <f t="shared" si="42"/>
        <v>0</v>
      </c>
    </row>
    <row r="207" spans="1:19">
      <c r="A207" s="961"/>
      <c r="B207" s="136"/>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0</v>
      </c>
      <c r="R207" s="487">
        <f t="shared" si="41"/>
        <v>0</v>
      </c>
      <c r="S207" s="796">
        <f t="shared" si="42"/>
        <v>0</v>
      </c>
    </row>
    <row r="208" spans="1:19">
      <c r="A208" s="961"/>
      <c r="B208" s="136"/>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0</v>
      </c>
      <c r="R208" s="487">
        <f t="shared" si="41"/>
        <v>0</v>
      </c>
      <c r="S208" s="796">
        <f t="shared" si="42"/>
        <v>0</v>
      </c>
    </row>
    <row r="209" spans="1:19">
      <c r="A209" s="961"/>
      <c r="B209" s="136"/>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0</v>
      </c>
      <c r="R209" s="487">
        <f t="shared" si="41"/>
        <v>0</v>
      </c>
      <c r="S209" s="796">
        <f t="shared" si="42"/>
        <v>0</v>
      </c>
    </row>
    <row r="210" spans="1:19">
      <c r="A210" s="961"/>
      <c r="B210" s="136"/>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0</v>
      </c>
      <c r="R210" s="487">
        <f t="shared" si="41"/>
        <v>0</v>
      </c>
      <c r="S210" s="796">
        <f t="shared" si="42"/>
        <v>0</v>
      </c>
    </row>
    <row r="211" spans="1:19">
      <c r="A211" s="961"/>
      <c r="B211" s="136"/>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0</v>
      </c>
      <c r="R211" s="487">
        <f t="shared" si="41"/>
        <v>0</v>
      </c>
      <c r="S211" s="796">
        <f t="shared" si="42"/>
        <v>0</v>
      </c>
    </row>
    <row r="212" spans="1:19">
      <c r="A212" s="961"/>
      <c r="B212" s="136"/>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0</v>
      </c>
      <c r="R212" s="487">
        <f t="shared" si="41"/>
        <v>0</v>
      </c>
      <c r="S212" s="796">
        <f t="shared" si="42"/>
        <v>0</v>
      </c>
    </row>
    <row r="213" spans="1:19">
      <c r="A213" s="961"/>
      <c r="B213" s="136"/>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0</v>
      </c>
      <c r="R213" s="487">
        <f t="shared" si="41"/>
        <v>0</v>
      </c>
      <c r="S213" s="796">
        <f t="shared" si="42"/>
        <v>0</v>
      </c>
    </row>
    <row r="214" spans="1:19">
      <c r="A214" s="961"/>
      <c r="B214" s="136"/>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0</v>
      </c>
      <c r="R214" s="487">
        <f t="shared" si="41"/>
        <v>0</v>
      </c>
      <c r="S214" s="796">
        <f t="shared" si="42"/>
        <v>0</v>
      </c>
    </row>
    <row r="215" spans="1:19">
      <c r="A215" s="961"/>
      <c r="B215" s="136"/>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0</v>
      </c>
      <c r="R215" s="487">
        <f t="shared" si="41"/>
        <v>0</v>
      </c>
      <c r="S215" s="796">
        <f t="shared" si="42"/>
        <v>0</v>
      </c>
    </row>
    <row r="216" spans="1:19">
      <c r="A216" s="961"/>
      <c r="B216" s="136"/>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0</v>
      </c>
      <c r="R216" s="487">
        <f t="shared" si="41"/>
        <v>0</v>
      </c>
      <c r="S216" s="796">
        <f t="shared" si="42"/>
        <v>0</v>
      </c>
    </row>
    <row r="217" spans="1:19">
      <c r="A217" s="961"/>
      <c r="B217" s="136"/>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0</v>
      </c>
      <c r="R217" s="487">
        <f t="shared" si="41"/>
        <v>0</v>
      </c>
      <c r="S217" s="796">
        <f t="shared" si="42"/>
        <v>0</v>
      </c>
    </row>
    <row r="218" spans="1:19">
      <c r="A218" s="961"/>
      <c r="B218" s="136"/>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0</v>
      </c>
      <c r="R218" s="487">
        <f t="shared" ref="R218:R281" si="51">IF(B218="",0,ROUND($R$24*C218*E218*G218*I218*K218*M218*O218*Q218,0))</f>
        <v>0</v>
      </c>
      <c r="S218" s="796">
        <f t="shared" si="42"/>
        <v>0</v>
      </c>
    </row>
    <row r="219" spans="1:19">
      <c r="A219" s="961"/>
      <c r="B219" s="136"/>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0</v>
      </c>
      <c r="R219" s="487">
        <f t="shared" si="51"/>
        <v>0</v>
      </c>
      <c r="S219" s="796">
        <f t="shared" si="42"/>
        <v>0</v>
      </c>
    </row>
    <row r="220" spans="1:19">
      <c r="A220" s="961"/>
      <c r="B220" s="136"/>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0</v>
      </c>
      <c r="R220" s="487">
        <f t="shared" si="51"/>
        <v>0</v>
      </c>
      <c r="S220" s="796">
        <f t="shared" si="42"/>
        <v>0</v>
      </c>
    </row>
    <row r="221" spans="1:19">
      <c r="A221" s="961"/>
      <c r="B221" s="136"/>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0</v>
      </c>
      <c r="R221" s="487">
        <f t="shared" si="51"/>
        <v>0</v>
      </c>
      <c r="S221" s="796">
        <f t="shared" si="42"/>
        <v>0</v>
      </c>
    </row>
    <row r="222" spans="1:19">
      <c r="A222" s="961"/>
      <c r="B222" s="136"/>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0</v>
      </c>
      <c r="R222" s="487">
        <f t="shared" si="51"/>
        <v>0</v>
      </c>
      <c r="S222" s="796">
        <f t="shared" si="42"/>
        <v>0</v>
      </c>
    </row>
    <row r="223" spans="1:19">
      <c r="A223" s="961"/>
      <c r="B223" s="136"/>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0</v>
      </c>
      <c r="R223" s="487">
        <f t="shared" si="51"/>
        <v>0</v>
      </c>
      <c r="S223" s="796">
        <f t="shared" ref="S223:S286" si="52">ROUND(R223*B223/10000,0)</f>
        <v>0</v>
      </c>
    </row>
    <row r="224" spans="1:19">
      <c r="A224" s="961"/>
      <c r="B224" s="136"/>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0</v>
      </c>
      <c r="R224" s="487">
        <f t="shared" si="51"/>
        <v>0</v>
      </c>
      <c r="S224" s="796">
        <f t="shared" si="52"/>
        <v>0</v>
      </c>
    </row>
    <row r="225" spans="1:19">
      <c r="A225" s="961"/>
      <c r="B225" s="136"/>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0</v>
      </c>
      <c r="R225" s="487">
        <f t="shared" si="51"/>
        <v>0</v>
      </c>
      <c r="S225" s="796">
        <f t="shared" si="52"/>
        <v>0</v>
      </c>
    </row>
    <row r="226" spans="1:19">
      <c r="A226" s="961"/>
      <c r="B226" s="136"/>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0</v>
      </c>
      <c r="R226" s="487">
        <f t="shared" si="51"/>
        <v>0</v>
      </c>
      <c r="S226" s="796">
        <f t="shared" si="52"/>
        <v>0</v>
      </c>
    </row>
    <row r="227" spans="1:19">
      <c r="A227" s="961"/>
      <c r="B227" s="136"/>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0</v>
      </c>
      <c r="R227" s="487">
        <f t="shared" si="51"/>
        <v>0</v>
      </c>
      <c r="S227" s="796">
        <f t="shared" si="52"/>
        <v>0</v>
      </c>
    </row>
    <row r="228" spans="1:19">
      <c r="A228" s="961"/>
      <c r="B228" s="136"/>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0</v>
      </c>
      <c r="R228" s="487">
        <f t="shared" si="51"/>
        <v>0</v>
      </c>
      <c r="S228" s="796">
        <f t="shared" si="52"/>
        <v>0</v>
      </c>
    </row>
    <row r="229" spans="1:19">
      <c r="A229" s="961"/>
      <c r="B229" s="136"/>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0</v>
      </c>
      <c r="R229" s="487">
        <f t="shared" si="51"/>
        <v>0</v>
      </c>
      <c r="S229" s="796">
        <f t="shared" si="52"/>
        <v>0</v>
      </c>
    </row>
    <row r="230" spans="1:19">
      <c r="A230" s="961"/>
      <c r="B230" s="136"/>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0</v>
      </c>
      <c r="R230" s="487">
        <f t="shared" si="51"/>
        <v>0</v>
      </c>
      <c r="S230" s="796">
        <f t="shared" si="52"/>
        <v>0</v>
      </c>
    </row>
    <row r="231" spans="1:19">
      <c r="A231" s="961"/>
      <c r="B231" s="136"/>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0</v>
      </c>
      <c r="R231" s="487">
        <f t="shared" si="51"/>
        <v>0</v>
      </c>
      <c r="S231" s="796">
        <f t="shared" si="52"/>
        <v>0</v>
      </c>
    </row>
    <row r="232" spans="1:19">
      <c r="A232" s="961"/>
      <c r="B232" s="136"/>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0</v>
      </c>
      <c r="R232" s="487">
        <f t="shared" si="51"/>
        <v>0</v>
      </c>
      <c r="S232" s="796">
        <f t="shared" si="52"/>
        <v>0</v>
      </c>
    </row>
    <row r="233" spans="1:19">
      <c r="A233" s="961"/>
      <c r="B233" s="136"/>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0</v>
      </c>
      <c r="R233" s="487">
        <f t="shared" si="51"/>
        <v>0</v>
      </c>
      <c r="S233" s="796">
        <f t="shared" si="52"/>
        <v>0</v>
      </c>
    </row>
    <row r="234" spans="1:19">
      <c r="A234" s="961"/>
      <c r="B234" s="136"/>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0</v>
      </c>
      <c r="R234" s="487">
        <f t="shared" si="51"/>
        <v>0</v>
      </c>
      <c r="S234" s="796">
        <f t="shared" si="52"/>
        <v>0</v>
      </c>
    </row>
    <row r="235" spans="1:19">
      <c r="A235" s="961"/>
      <c r="B235" s="136"/>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0</v>
      </c>
      <c r="R235" s="487">
        <f t="shared" si="51"/>
        <v>0</v>
      </c>
      <c r="S235" s="796">
        <f t="shared" si="52"/>
        <v>0</v>
      </c>
    </row>
    <row r="236" spans="1:19">
      <c r="A236" s="961"/>
      <c r="B236" s="136"/>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0</v>
      </c>
      <c r="R236" s="487">
        <f t="shared" si="51"/>
        <v>0</v>
      </c>
      <c r="S236" s="796">
        <f t="shared" si="52"/>
        <v>0</v>
      </c>
    </row>
    <row r="237" spans="1:19">
      <c r="A237" s="961"/>
      <c r="B237" s="136"/>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0</v>
      </c>
      <c r="R237" s="487">
        <f t="shared" si="51"/>
        <v>0</v>
      </c>
      <c r="S237" s="796">
        <f t="shared" si="52"/>
        <v>0</v>
      </c>
    </row>
    <row r="238" spans="1:19">
      <c r="A238" s="961"/>
      <c r="B238" s="136"/>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0</v>
      </c>
      <c r="R238" s="487">
        <f t="shared" si="51"/>
        <v>0</v>
      </c>
      <c r="S238" s="796">
        <f t="shared" si="52"/>
        <v>0</v>
      </c>
    </row>
    <row r="239" spans="1:19">
      <c r="A239" s="961"/>
      <c r="B239" s="136"/>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0</v>
      </c>
      <c r="R239" s="487">
        <f t="shared" si="51"/>
        <v>0</v>
      </c>
      <c r="S239" s="796">
        <f t="shared" si="52"/>
        <v>0</v>
      </c>
    </row>
    <row r="240" spans="1:19">
      <c r="A240" s="961"/>
      <c r="B240" s="136"/>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0</v>
      </c>
      <c r="R240" s="487">
        <f t="shared" si="51"/>
        <v>0</v>
      </c>
      <c r="S240" s="796">
        <f t="shared" si="52"/>
        <v>0</v>
      </c>
    </row>
    <row r="241" spans="1:19">
      <c r="A241" s="961"/>
      <c r="B241" s="136"/>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0</v>
      </c>
      <c r="R241" s="487">
        <f t="shared" si="51"/>
        <v>0</v>
      </c>
      <c r="S241" s="796">
        <f t="shared" si="52"/>
        <v>0</v>
      </c>
    </row>
    <row r="242" spans="1:19">
      <c r="A242" s="961"/>
      <c r="B242" s="136"/>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0</v>
      </c>
      <c r="R242" s="487">
        <f t="shared" si="51"/>
        <v>0</v>
      </c>
      <c r="S242" s="796">
        <f t="shared" si="52"/>
        <v>0</v>
      </c>
    </row>
    <row r="243" spans="1:19">
      <c r="A243" s="961"/>
      <c r="B243" s="136"/>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0</v>
      </c>
      <c r="R243" s="487">
        <f t="shared" si="51"/>
        <v>0</v>
      </c>
      <c r="S243" s="796">
        <f t="shared" si="52"/>
        <v>0</v>
      </c>
    </row>
    <row r="244" spans="1:19">
      <c r="A244" s="961"/>
      <c r="B244" s="136"/>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0</v>
      </c>
      <c r="R244" s="487">
        <f t="shared" si="51"/>
        <v>0</v>
      </c>
      <c r="S244" s="796">
        <f t="shared" si="52"/>
        <v>0</v>
      </c>
    </row>
    <row r="245" spans="1:19">
      <c r="A245" s="961"/>
      <c r="B245" s="136"/>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0</v>
      </c>
      <c r="R245" s="487">
        <f t="shared" si="51"/>
        <v>0</v>
      </c>
      <c r="S245" s="796">
        <f t="shared" si="52"/>
        <v>0</v>
      </c>
    </row>
    <row r="246" spans="1:19">
      <c r="A246" s="961"/>
      <c r="B246" s="136"/>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0</v>
      </c>
      <c r="R246" s="487">
        <f t="shared" si="51"/>
        <v>0</v>
      </c>
      <c r="S246" s="796">
        <f t="shared" si="52"/>
        <v>0</v>
      </c>
    </row>
    <row r="247" spans="1:19">
      <c r="A247" s="961"/>
      <c r="B247" s="136"/>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0</v>
      </c>
      <c r="R247" s="487">
        <f t="shared" si="51"/>
        <v>0</v>
      </c>
      <c r="S247" s="796">
        <f t="shared" si="52"/>
        <v>0</v>
      </c>
    </row>
    <row r="248" spans="1:19">
      <c r="A248" s="961"/>
      <c r="B248" s="136"/>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0</v>
      </c>
      <c r="R248" s="487">
        <f t="shared" si="51"/>
        <v>0</v>
      </c>
      <c r="S248" s="796">
        <f t="shared" si="52"/>
        <v>0</v>
      </c>
    </row>
    <row r="249" spans="1:19">
      <c r="A249" s="961"/>
      <c r="B249" s="136"/>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0</v>
      </c>
      <c r="R249" s="487">
        <f t="shared" si="51"/>
        <v>0</v>
      </c>
      <c r="S249" s="796">
        <f t="shared" si="52"/>
        <v>0</v>
      </c>
    </row>
    <row r="250" spans="1:19">
      <c r="A250" s="961"/>
      <c r="B250" s="136"/>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0</v>
      </c>
      <c r="R250" s="487">
        <f t="shared" si="51"/>
        <v>0</v>
      </c>
      <c r="S250" s="796">
        <f t="shared" si="52"/>
        <v>0</v>
      </c>
    </row>
    <row r="251" spans="1:19">
      <c r="A251" s="961"/>
      <c r="B251" s="136"/>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0</v>
      </c>
      <c r="R251" s="487">
        <f t="shared" si="51"/>
        <v>0</v>
      </c>
      <c r="S251" s="796">
        <f t="shared" si="52"/>
        <v>0</v>
      </c>
    </row>
    <row r="252" spans="1:19">
      <c r="A252" s="961"/>
      <c r="B252" s="136"/>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0</v>
      </c>
      <c r="R252" s="487">
        <f t="shared" si="51"/>
        <v>0</v>
      </c>
      <c r="S252" s="796">
        <f t="shared" si="52"/>
        <v>0</v>
      </c>
    </row>
    <row r="253" spans="1:19">
      <c r="A253" s="961"/>
      <c r="B253" s="136"/>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0</v>
      </c>
      <c r="R253" s="487">
        <f t="shared" si="51"/>
        <v>0</v>
      </c>
      <c r="S253" s="796">
        <f t="shared" si="52"/>
        <v>0</v>
      </c>
    </row>
    <row r="254" spans="1:19">
      <c r="A254" s="961"/>
      <c r="B254" s="136"/>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0</v>
      </c>
      <c r="R254" s="487">
        <f t="shared" si="51"/>
        <v>0</v>
      </c>
      <c r="S254" s="796">
        <f t="shared" si="52"/>
        <v>0</v>
      </c>
    </row>
    <row r="255" spans="1:19">
      <c r="A255" s="961"/>
      <c r="B255" s="136"/>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0</v>
      </c>
      <c r="R255" s="487">
        <f t="shared" si="51"/>
        <v>0</v>
      </c>
      <c r="S255" s="796">
        <f t="shared" si="52"/>
        <v>0</v>
      </c>
    </row>
    <row r="256" spans="1:19">
      <c r="A256" s="961"/>
      <c r="B256" s="136"/>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0</v>
      </c>
      <c r="R256" s="487">
        <f t="shared" si="51"/>
        <v>0</v>
      </c>
      <c r="S256" s="796">
        <f t="shared" si="52"/>
        <v>0</v>
      </c>
    </row>
    <row r="257" spans="1:19">
      <c r="A257" s="961"/>
      <c r="B257" s="136"/>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0</v>
      </c>
      <c r="R257" s="487">
        <f t="shared" si="51"/>
        <v>0</v>
      </c>
      <c r="S257" s="796">
        <f t="shared" si="52"/>
        <v>0</v>
      </c>
    </row>
    <row r="258" spans="1:19">
      <c r="A258" s="961"/>
      <c r="B258" s="136"/>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0</v>
      </c>
      <c r="R258" s="487">
        <f t="shared" si="51"/>
        <v>0</v>
      </c>
      <c r="S258" s="796">
        <f t="shared" si="52"/>
        <v>0</v>
      </c>
    </row>
    <row r="259" spans="1:19">
      <c r="A259" s="961"/>
      <c r="B259" s="136"/>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0</v>
      </c>
      <c r="R259" s="487">
        <f t="shared" si="51"/>
        <v>0</v>
      </c>
      <c r="S259" s="796">
        <f t="shared" si="52"/>
        <v>0</v>
      </c>
    </row>
    <row r="260" spans="1:19">
      <c r="A260" s="961"/>
      <c r="B260" s="136"/>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0</v>
      </c>
      <c r="R260" s="487">
        <f t="shared" si="51"/>
        <v>0</v>
      </c>
      <c r="S260" s="796">
        <f t="shared" si="52"/>
        <v>0</v>
      </c>
    </row>
    <row r="261" spans="1:19">
      <c r="A261" s="961"/>
      <c r="B261" s="136"/>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0</v>
      </c>
      <c r="R261" s="487">
        <f t="shared" si="51"/>
        <v>0</v>
      </c>
      <c r="S261" s="796">
        <f t="shared" si="52"/>
        <v>0</v>
      </c>
    </row>
    <row r="262" spans="1:19">
      <c r="A262" s="961"/>
      <c r="B262" s="136"/>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0</v>
      </c>
      <c r="R262" s="487">
        <f t="shared" si="51"/>
        <v>0</v>
      </c>
      <c r="S262" s="796">
        <f t="shared" si="52"/>
        <v>0</v>
      </c>
    </row>
    <row r="263" spans="1:19">
      <c r="A263" s="961"/>
      <c r="B263" s="136"/>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0</v>
      </c>
      <c r="R263" s="487">
        <f t="shared" si="51"/>
        <v>0</v>
      </c>
      <c r="S263" s="796">
        <f t="shared" si="52"/>
        <v>0</v>
      </c>
    </row>
    <row r="264" spans="1:19">
      <c r="A264" s="961"/>
      <c r="B264" s="136"/>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0</v>
      </c>
      <c r="R264" s="487">
        <f t="shared" si="51"/>
        <v>0</v>
      </c>
      <c r="S264" s="796">
        <f t="shared" si="52"/>
        <v>0</v>
      </c>
    </row>
    <row r="265" spans="1:19">
      <c r="A265" s="961"/>
      <c r="B265" s="136"/>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0</v>
      </c>
      <c r="R265" s="487">
        <f t="shared" si="51"/>
        <v>0</v>
      </c>
      <c r="S265" s="796">
        <f t="shared" si="52"/>
        <v>0</v>
      </c>
    </row>
    <row r="266" spans="1:19">
      <c r="A266" s="961"/>
      <c r="B266" s="136"/>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0</v>
      </c>
      <c r="R266" s="487">
        <f t="shared" si="51"/>
        <v>0</v>
      </c>
      <c r="S266" s="796">
        <f t="shared" si="52"/>
        <v>0</v>
      </c>
    </row>
    <row r="267" spans="1:19">
      <c r="A267" s="961"/>
      <c r="B267" s="136"/>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0</v>
      </c>
      <c r="R267" s="487">
        <f t="shared" si="51"/>
        <v>0</v>
      </c>
      <c r="S267" s="796">
        <f t="shared" si="52"/>
        <v>0</v>
      </c>
    </row>
    <row r="268" spans="1:19">
      <c r="A268" s="961"/>
      <c r="B268" s="136"/>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0</v>
      </c>
      <c r="R268" s="487">
        <f t="shared" si="51"/>
        <v>0</v>
      </c>
      <c r="S268" s="796">
        <f t="shared" si="52"/>
        <v>0</v>
      </c>
    </row>
    <row r="269" spans="1:19">
      <c r="A269" s="961"/>
      <c r="B269" s="136"/>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0</v>
      </c>
      <c r="R269" s="487">
        <f t="shared" si="51"/>
        <v>0</v>
      </c>
      <c r="S269" s="796">
        <f t="shared" si="52"/>
        <v>0</v>
      </c>
    </row>
    <row r="270" spans="1:19">
      <c r="A270" s="961"/>
      <c r="B270" s="136"/>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0</v>
      </c>
      <c r="R270" s="487">
        <f t="shared" si="51"/>
        <v>0</v>
      </c>
      <c r="S270" s="796">
        <f t="shared" si="52"/>
        <v>0</v>
      </c>
    </row>
    <row r="271" spans="1:19">
      <c r="A271" s="961"/>
      <c r="B271" s="136"/>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0</v>
      </c>
      <c r="R271" s="487">
        <f t="shared" si="51"/>
        <v>0</v>
      </c>
      <c r="S271" s="796">
        <f t="shared" si="52"/>
        <v>0</v>
      </c>
    </row>
    <row r="272" spans="1:19">
      <c r="A272" s="961"/>
      <c r="B272" s="136"/>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0</v>
      </c>
      <c r="R272" s="487">
        <f t="shared" si="51"/>
        <v>0</v>
      </c>
      <c r="S272" s="796">
        <f t="shared" si="52"/>
        <v>0</v>
      </c>
    </row>
    <row r="273" spans="1:19">
      <c r="A273" s="961"/>
      <c r="B273" s="136"/>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0</v>
      </c>
      <c r="R273" s="487">
        <f t="shared" si="51"/>
        <v>0</v>
      </c>
      <c r="S273" s="796">
        <f t="shared" si="52"/>
        <v>0</v>
      </c>
    </row>
    <row r="274" spans="1:19">
      <c r="A274" s="961"/>
      <c r="B274" s="136"/>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0</v>
      </c>
      <c r="R274" s="487">
        <f t="shared" si="51"/>
        <v>0</v>
      </c>
      <c r="S274" s="796">
        <f t="shared" si="52"/>
        <v>0</v>
      </c>
    </row>
    <row r="275" spans="1:19">
      <c r="A275" s="961"/>
      <c r="B275" s="136"/>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0</v>
      </c>
      <c r="R275" s="487">
        <f t="shared" si="51"/>
        <v>0</v>
      </c>
      <c r="S275" s="796">
        <f t="shared" si="52"/>
        <v>0</v>
      </c>
    </row>
    <row r="276" spans="1:19">
      <c r="A276" s="961"/>
      <c r="B276" s="136"/>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0</v>
      </c>
      <c r="R276" s="487">
        <f t="shared" si="51"/>
        <v>0</v>
      </c>
      <c r="S276" s="796">
        <f t="shared" si="52"/>
        <v>0</v>
      </c>
    </row>
    <row r="277" spans="1:19">
      <c r="A277" s="961"/>
      <c r="B277" s="136"/>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0</v>
      </c>
      <c r="R277" s="487">
        <f t="shared" si="51"/>
        <v>0</v>
      </c>
      <c r="S277" s="796">
        <f t="shared" si="52"/>
        <v>0</v>
      </c>
    </row>
    <row r="278" spans="1:19">
      <c r="A278" s="961"/>
      <c r="B278" s="136"/>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0</v>
      </c>
      <c r="R278" s="487">
        <f t="shared" si="51"/>
        <v>0</v>
      </c>
      <c r="S278" s="796">
        <f t="shared" si="52"/>
        <v>0</v>
      </c>
    </row>
    <row r="279" spans="1:19">
      <c r="A279" s="961"/>
      <c r="B279" s="136"/>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0</v>
      </c>
      <c r="R279" s="487">
        <f t="shared" si="51"/>
        <v>0</v>
      </c>
      <c r="S279" s="796">
        <f t="shared" si="52"/>
        <v>0</v>
      </c>
    </row>
    <row r="280" spans="1:19">
      <c r="A280" s="961"/>
      <c r="B280" s="136"/>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0</v>
      </c>
      <c r="R280" s="487">
        <f t="shared" si="51"/>
        <v>0</v>
      </c>
      <c r="S280" s="796">
        <f t="shared" si="52"/>
        <v>0</v>
      </c>
    </row>
    <row r="281" spans="1:19">
      <c r="A281" s="961"/>
      <c r="B281" s="136"/>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0</v>
      </c>
      <c r="R281" s="487">
        <f t="shared" si="51"/>
        <v>0</v>
      </c>
      <c r="S281" s="796">
        <f t="shared" si="52"/>
        <v>0</v>
      </c>
    </row>
    <row r="282" spans="1:19">
      <c r="A282" s="961"/>
      <c r="B282" s="136"/>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0</v>
      </c>
      <c r="R282" s="487">
        <f t="shared" ref="R282:R345" si="61">IF(B282="",0,ROUND($R$24*C282*E282*G282*I282*K282*M282*O282*Q282,0))</f>
        <v>0</v>
      </c>
      <c r="S282" s="796">
        <f t="shared" si="52"/>
        <v>0</v>
      </c>
    </row>
    <row r="283" spans="1:19">
      <c r="A283" s="961"/>
      <c r="B283" s="136"/>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0</v>
      </c>
      <c r="R283" s="487">
        <f t="shared" si="61"/>
        <v>0</v>
      </c>
      <c r="S283" s="796">
        <f t="shared" si="52"/>
        <v>0</v>
      </c>
    </row>
    <row r="284" spans="1:19">
      <c r="A284" s="961"/>
      <c r="B284" s="136"/>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0</v>
      </c>
      <c r="R284" s="487">
        <f t="shared" si="61"/>
        <v>0</v>
      </c>
      <c r="S284" s="796">
        <f t="shared" si="52"/>
        <v>0</v>
      </c>
    </row>
    <row r="285" spans="1:19">
      <c r="A285" s="961"/>
      <c r="B285" s="136"/>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0</v>
      </c>
      <c r="R285" s="487">
        <f t="shared" si="61"/>
        <v>0</v>
      </c>
      <c r="S285" s="796">
        <f t="shared" si="52"/>
        <v>0</v>
      </c>
    </row>
    <row r="286" spans="1:19">
      <c r="A286" s="961"/>
      <c r="B286" s="136"/>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0</v>
      </c>
      <c r="R286" s="487">
        <f t="shared" si="61"/>
        <v>0</v>
      </c>
      <c r="S286" s="796">
        <f t="shared" si="52"/>
        <v>0</v>
      </c>
    </row>
    <row r="287" spans="1:19">
      <c r="A287" s="961"/>
      <c r="B287" s="136"/>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0</v>
      </c>
      <c r="R287" s="487">
        <f t="shared" si="61"/>
        <v>0</v>
      </c>
      <c r="S287" s="796">
        <f t="shared" ref="S287:S320" si="62">ROUND(R287*B287/10000,0)</f>
        <v>0</v>
      </c>
    </row>
    <row r="288" spans="1:19">
      <c r="A288" s="961"/>
      <c r="B288" s="136"/>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0</v>
      </c>
      <c r="R288" s="487">
        <f t="shared" si="61"/>
        <v>0</v>
      </c>
      <c r="S288" s="796">
        <f t="shared" si="62"/>
        <v>0</v>
      </c>
    </row>
    <row r="289" spans="1:19">
      <c r="A289" s="961"/>
      <c r="B289" s="136"/>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0</v>
      </c>
      <c r="R289" s="487">
        <f t="shared" si="61"/>
        <v>0</v>
      </c>
      <c r="S289" s="796">
        <f t="shared" si="62"/>
        <v>0</v>
      </c>
    </row>
    <row r="290" spans="1:19">
      <c r="A290" s="961"/>
      <c r="B290" s="136"/>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0</v>
      </c>
      <c r="R290" s="487">
        <f t="shared" si="61"/>
        <v>0</v>
      </c>
      <c r="S290" s="796">
        <f t="shared" si="62"/>
        <v>0</v>
      </c>
    </row>
    <row r="291" spans="1:19">
      <c r="A291" s="961"/>
      <c r="B291" s="136"/>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0</v>
      </c>
      <c r="R291" s="487">
        <f t="shared" si="61"/>
        <v>0</v>
      </c>
      <c r="S291" s="796">
        <f t="shared" si="62"/>
        <v>0</v>
      </c>
    </row>
    <row r="292" spans="1:19">
      <c r="A292" s="961"/>
      <c r="B292" s="136"/>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0</v>
      </c>
      <c r="R292" s="487">
        <f t="shared" si="61"/>
        <v>0</v>
      </c>
      <c r="S292" s="796">
        <f t="shared" si="62"/>
        <v>0</v>
      </c>
    </row>
    <row r="293" spans="1:19">
      <c r="A293" s="961"/>
      <c r="B293" s="136"/>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0</v>
      </c>
      <c r="R293" s="487">
        <f t="shared" si="61"/>
        <v>0</v>
      </c>
      <c r="S293" s="796">
        <f t="shared" si="62"/>
        <v>0</v>
      </c>
    </row>
    <row r="294" spans="1:19">
      <c r="A294" s="961"/>
      <c r="B294" s="136"/>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0</v>
      </c>
      <c r="R294" s="487">
        <f t="shared" si="61"/>
        <v>0</v>
      </c>
      <c r="S294" s="796">
        <f t="shared" si="62"/>
        <v>0</v>
      </c>
    </row>
    <row r="295" spans="1:19">
      <c r="A295" s="961"/>
      <c r="B295" s="136"/>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0</v>
      </c>
      <c r="R295" s="487">
        <f t="shared" si="61"/>
        <v>0</v>
      </c>
      <c r="S295" s="796">
        <f t="shared" si="62"/>
        <v>0</v>
      </c>
    </row>
    <row r="296" spans="1:19">
      <c r="A296" s="961"/>
      <c r="B296" s="136"/>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0</v>
      </c>
      <c r="R296" s="487">
        <f t="shared" si="61"/>
        <v>0</v>
      </c>
      <c r="S296" s="796">
        <f t="shared" si="62"/>
        <v>0</v>
      </c>
    </row>
    <row r="297" spans="1:19">
      <c r="A297" s="961"/>
      <c r="B297" s="136"/>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0</v>
      </c>
      <c r="R297" s="487">
        <f t="shared" si="61"/>
        <v>0</v>
      </c>
      <c r="S297" s="796">
        <f t="shared" si="62"/>
        <v>0</v>
      </c>
    </row>
    <row r="298" spans="1:19">
      <c r="A298" s="961"/>
      <c r="B298" s="136"/>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0</v>
      </c>
      <c r="R298" s="487">
        <f t="shared" si="61"/>
        <v>0</v>
      </c>
      <c r="S298" s="796">
        <f t="shared" si="62"/>
        <v>0</v>
      </c>
    </row>
    <row r="299" spans="1:19">
      <c r="A299" s="961"/>
      <c r="B299" s="136"/>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0</v>
      </c>
      <c r="R299" s="487">
        <f t="shared" si="61"/>
        <v>0</v>
      </c>
      <c r="S299" s="796">
        <f t="shared" si="62"/>
        <v>0</v>
      </c>
    </row>
    <row r="300" spans="1:19">
      <c r="A300" s="961"/>
      <c r="B300" s="136"/>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0</v>
      </c>
      <c r="R300" s="487">
        <f t="shared" si="61"/>
        <v>0</v>
      </c>
      <c r="S300" s="796">
        <f t="shared" si="62"/>
        <v>0</v>
      </c>
    </row>
    <row r="301" spans="1:19">
      <c r="A301" s="961"/>
      <c r="B301" s="136"/>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0</v>
      </c>
      <c r="R301" s="487">
        <f t="shared" si="61"/>
        <v>0</v>
      </c>
      <c r="S301" s="796">
        <f t="shared" si="62"/>
        <v>0</v>
      </c>
    </row>
    <row r="302" spans="1:19">
      <c r="A302" s="961"/>
      <c r="B302" s="136"/>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0</v>
      </c>
      <c r="R302" s="487">
        <f t="shared" si="61"/>
        <v>0</v>
      </c>
      <c r="S302" s="796">
        <f t="shared" si="62"/>
        <v>0</v>
      </c>
    </row>
    <row r="303" spans="1:19">
      <c r="A303" s="961"/>
      <c r="B303" s="136"/>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0</v>
      </c>
      <c r="R303" s="487">
        <f t="shared" si="61"/>
        <v>0</v>
      </c>
      <c r="S303" s="796">
        <f t="shared" si="62"/>
        <v>0</v>
      </c>
    </row>
    <row r="304" spans="1:19">
      <c r="A304" s="961"/>
      <c r="B304" s="136"/>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0</v>
      </c>
      <c r="R304" s="487">
        <f t="shared" si="61"/>
        <v>0</v>
      </c>
      <c r="S304" s="796">
        <f t="shared" si="62"/>
        <v>0</v>
      </c>
    </row>
    <row r="305" spans="1:19">
      <c r="A305" s="961"/>
      <c r="B305" s="136"/>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0</v>
      </c>
      <c r="R305" s="487">
        <f t="shared" si="61"/>
        <v>0</v>
      </c>
      <c r="S305" s="796">
        <f t="shared" si="62"/>
        <v>0</v>
      </c>
    </row>
    <row r="306" spans="1:19">
      <c r="A306" s="961"/>
      <c r="B306" s="136"/>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0</v>
      </c>
      <c r="R306" s="487">
        <f t="shared" si="61"/>
        <v>0</v>
      </c>
      <c r="S306" s="796">
        <f t="shared" si="62"/>
        <v>0</v>
      </c>
    </row>
    <row r="307" spans="1:19">
      <c r="A307" s="961"/>
      <c r="B307" s="136"/>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0</v>
      </c>
      <c r="R307" s="487">
        <f t="shared" si="61"/>
        <v>0</v>
      </c>
      <c r="S307" s="796">
        <f t="shared" si="62"/>
        <v>0</v>
      </c>
    </row>
    <row r="308" spans="1:19">
      <c r="A308" s="961"/>
      <c r="B308" s="136"/>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0</v>
      </c>
      <c r="R308" s="487">
        <f t="shared" si="61"/>
        <v>0</v>
      </c>
      <c r="S308" s="796">
        <f t="shared" si="62"/>
        <v>0</v>
      </c>
    </row>
    <row r="309" spans="1:19">
      <c r="A309" s="961"/>
      <c r="B309" s="136"/>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0</v>
      </c>
      <c r="R309" s="487">
        <f t="shared" si="61"/>
        <v>0</v>
      </c>
      <c r="S309" s="796">
        <f t="shared" si="62"/>
        <v>0</v>
      </c>
    </row>
    <row r="310" spans="1:19">
      <c r="A310" s="961"/>
      <c r="B310" s="136"/>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0</v>
      </c>
      <c r="R310" s="487">
        <f t="shared" si="61"/>
        <v>0</v>
      </c>
      <c r="S310" s="796">
        <f t="shared" si="62"/>
        <v>0</v>
      </c>
    </row>
    <row r="311" spans="1:19">
      <c r="A311" s="961"/>
      <c r="B311" s="136"/>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0</v>
      </c>
      <c r="R311" s="487">
        <f t="shared" si="61"/>
        <v>0</v>
      </c>
      <c r="S311" s="796">
        <f t="shared" si="62"/>
        <v>0</v>
      </c>
    </row>
    <row r="312" spans="1:19">
      <c r="A312" s="961"/>
      <c r="B312" s="136"/>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0</v>
      </c>
      <c r="R312" s="487">
        <f t="shared" si="61"/>
        <v>0</v>
      </c>
      <c r="S312" s="796">
        <f t="shared" si="62"/>
        <v>0</v>
      </c>
    </row>
    <row r="313" spans="1:19">
      <c r="A313" s="961"/>
      <c r="B313" s="136"/>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0</v>
      </c>
      <c r="R313" s="487">
        <f t="shared" si="61"/>
        <v>0</v>
      </c>
      <c r="S313" s="796">
        <f t="shared" si="62"/>
        <v>0</v>
      </c>
    </row>
    <row r="314" spans="1:19">
      <c r="A314" s="961"/>
      <c r="B314" s="136"/>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0</v>
      </c>
      <c r="R314" s="487">
        <f t="shared" si="61"/>
        <v>0</v>
      </c>
      <c r="S314" s="796">
        <f t="shared" si="62"/>
        <v>0</v>
      </c>
    </row>
    <row r="315" spans="1:19">
      <c r="A315" s="961"/>
      <c r="B315" s="136"/>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0</v>
      </c>
      <c r="R315" s="487">
        <f t="shared" si="61"/>
        <v>0</v>
      </c>
      <c r="S315" s="796">
        <f t="shared" si="62"/>
        <v>0</v>
      </c>
    </row>
    <row r="316" spans="1:19">
      <c r="A316" s="961"/>
      <c r="B316" s="136"/>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0</v>
      </c>
      <c r="R316" s="487">
        <f t="shared" si="61"/>
        <v>0</v>
      </c>
      <c r="S316" s="796">
        <f t="shared" si="62"/>
        <v>0</v>
      </c>
    </row>
    <row r="317" spans="1:19">
      <c r="A317" s="961"/>
      <c r="B317" s="136"/>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0</v>
      </c>
      <c r="R317" s="487">
        <f t="shared" si="61"/>
        <v>0</v>
      </c>
      <c r="S317" s="796">
        <f t="shared" si="62"/>
        <v>0</v>
      </c>
    </row>
    <row r="318" spans="1:19">
      <c r="A318" s="961"/>
      <c r="B318" s="136"/>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0</v>
      </c>
      <c r="R318" s="487">
        <f t="shared" si="61"/>
        <v>0</v>
      </c>
      <c r="S318" s="796">
        <f t="shared" si="62"/>
        <v>0</v>
      </c>
    </row>
    <row r="319" spans="1:19">
      <c r="A319" s="961"/>
      <c r="B319" s="136"/>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0</v>
      </c>
      <c r="R319" s="487">
        <f t="shared" si="61"/>
        <v>0</v>
      </c>
      <c r="S319" s="796">
        <f t="shared" si="62"/>
        <v>0</v>
      </c>
    </row>
    <row r="320" spans="1:19">
      <c r="A320" s="961"/>
      <c r="B320" s="136"/>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0</v>
      </c>
      <c r="R320" s="487">
        <f t="shared" si="61"/>
        <v>0</v>
      </c>
      <c r="S320" s="796">
        <f t="shared" si="62"/>
        <v>0</v>
      </c>
    </row>
    <row r="321" spans="1:19">
      <c r="A321" s="961"/>
      <c r="B321" s="136"/>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0</v>
      </c>
      <c r="R321" s="487">
        <f t="shared" si="61"/>
        <v>0</v>
      </c>
      <c r="S321" s="796">
        <f t="shared" ref="S321:S384" si="63">ROUND(R321*B321/10000,0)</f>
        <v>0</v>
      </c>
    </row>
    <row r="322" spans="1:19">
      <c r="A322" s="961"/>
      <c r="B322" s="136"/>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0</v>
      </c>
      <c r="R322" s="487">
        <f t="shared" si="61"/>
        <v>0</v>
      </c>
      <c r="S322" s="796">
        <f t="shared" si="63"/>
        <v>0</v>
      </c>
    </row>
    <row r="323" spans="1:19">
      <c r="A323" s="961"/>
      <c r="B323" s="136"/>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0</v>
      </c>
      <c r="R323" s="487">
        <f t="shared" si="61"/>
        <v>0</v>
      </c>
      <c r="S323" s="796">
        <f t="shared" si="63"/>
        <v>0</v>
      </c>
    </row>
    <row r="324" spans="1:19">
      <c r="A324" s="961"/>
      <c r="B324" s="136"/>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0</v>
      </c>
      <c r="R324" s="487">
        <f t="shared" si="61"/>
        <v>0</v>
      </c>
      <c r="S324" s="796">
        <f t="shared" si="63"/>
        <v>0</v>
      </c>
    </row>
    <row r="325" spans="1:19">
      <c r="A325" s="961"/>
      <c r="B325" s="136"/>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0</v>
      </c>
      <c r="R325" s="487">
        <f t="shared" si="61"/>
        <v>0</v>
      </c>
      <c r="S325" s="796">
        <f t="shared" si="63"/>
        <v>0</v>
      </c>
    </row>
    <row r="326" spans="1:19">
      <c r="A326" s="961"/>
      <c r="B326" s="136"/>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0</v>
      </c>
      <c r="R326" s="487">
        <f t="shared" si="61"/>
        <v>0</v>
      </c>
      <c r="S326" s="796">
        <f t="shared" si="63"/>
        <v>0</v>
      </c>
    </row>
    <row r="327" spans="1:19">
      <c r="A327" s="961"/>
      <c r="B327" s="136"/>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0</v>
      </c>
      <c r="R327" s="487">
        <f t="shared" si="61"/>
        <v>0</v>
      </c>
      <c r="S327" s="796">
        <f t="shared" si="63"/>
        <v>0</v>
      </c>
    </row>
    <row r="328" spans="1:19">
      <c r="A328" s="961"/>
      <c r="B328" s="136"/>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0</v>
      </c>
      <c r="R328" s="487">
        <f t="shared" si="61"/>
        <v>0</v>
      </c>
      <c r="S328" s="796">
        <f t="shared" si="63"/>
        <v>0</v>
      </c>
    </row>
    <row r="329" spans="1:19">
      <c r="A329" s="961"/>
      <c r="B329" s="136"/>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0</v>
      </c>
      <c r="R329" s="487">
        <f t="shared" si="61"/>
        <v>0</v>
      </c>
      <c r="S329" s="796">
        <f t="shared" si="63"/>
        <v>0</v>
      </c>
    </row>
    <row r="330" spans="1:19">
      <c r="A330" s="961"/>
      <c r="B330" s="136"/>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0</v>
      </c>
      <c r="R330" s="487">
        <f t="shared" si="61"/>
        <v>0</v>
      </c>
      <c r="S330" s="796">
        <f t="shared" si="63"/>
        <v>0</v>
      </c>
    </row>
    <row r="331" spans="1:19">
      <c r="A331" s="961"/>
      <c r="B331" s="136"/>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0</v>
      </c>
      <c r="R331" s="487">
        <f t="shared" si="61"/>
        <v>0</v>
      </c>
      <c r="S331" s="796">
        <f t="shared" si="63"/>
        <v>0</v>
      </c>
    </row>
    <row r="332" spans="1:19">
      <c r="A332" s="961"/>
      <c r="B332" s="136"/>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0</v>
      </c>
      <c r="R332" s="487">
        <f t="shared" si="61"/>
        <v>0</v>
      </c>
      <c r="S332" s="796">
        <f t="shared" si="63"/>
        <v>0</v>
      </c>
    </row>
    <row r="333" spans="1:19">
      <c r="A333" s="961"/>
      <c r="B333" s="136"/>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0</v>
      </c>
      <c r="R333" s="487">
        <f t="shared" si="61"/>
        <v>0</v>
      </c>
      <c r="S333" s="796">
        <f t="shared" si="63"/>
        <v>0</v>
      </c>
    </row>
    <row r="334" spans="1:19">
      <c r="A334" s="961"/>
      <c r="B334" s="136"/>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0</v>
      </c>
      <c r="R334" s="487">
        <f t="shared" si="61"/>
        <v>0</v>
      </c>
      <c r="S334" s="796">
        <f t="shared" si="63"/>
        <v>0</v>
      </c>
    </row>
    <row r="335" spans="1:19">
      <c r="A335" s="961"/>
      <c r="B335" s="136"/>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0</v>
      </c>
      <c r="R335" s="487">
        <f t="shared" si="61"/>
        <v>0</v>
      </c>
      <c r="S335" s="796">
        <f t="shared" si="63"/>
        <v>0</v>
      </c>
    </row>
    <row r="336" spans="1:19">
      <c r="A336" s="961"/>
      <c r="B336" s="136"/>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0</v>
      </c>
      <c r="R336" s="487">
        <f t="shared" si="61"/>
        <v>0</v>
      </c>
      <c r="S336" s="796">
        <f t="shared" si="63"/>
        <v>0</v>
      </c>
    </row>
    <row r="337" spans="1:19">
      <c r="A337" s="961"/>
      <c r="B337" s="136"/>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0</v>
      </c>
      <c r="R337" s="487">
        <f t="shared" si="61"/>
        <v>0</v>
      </c>
      <c r="S337" s="796">
        <f t="shared" si="63"/>
        <v>0</v>
      </c>
    </row>
    <row r="338" spans="1:19">
      <c r="A338" s="961"/>
      <c r="B338" s="136"/>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0</v>
      </c>
      <c r="R338" s="487">
        <f t="shared" si="61"/>
        <v>0</v>
      </c>
      <c r="S338" s="796">
        <f t="shared" si="63"/>
        <v>0</v>
      </c>
    </row>
    <row r="339" spans="1:19">
      <c r="A339" s="961"/>
      <c r="B339" s="136"/>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0</v>
      </c>
      <c r="R339" s="487">
        <f t="shared" si="61"/>
        <v>0</v>
      </c>
      <c r="S339" s="796">
        <f t="shared" si="63"/>
        <v>0</v>
      </c>
    </row>
    <row r="340" spans="1:19">
      <c r="A340" s="961"/>
      <c r="B340" s="136"/>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0</v>
      </c>
      <c r="R340" s="487">
        <f t="shared" si="61"/>
        <v>0</v>
      </c>
      <c r="S340" s="796">
        <f t="shared" si="63"/>
        <v>0</v>
      </c>
    </row>
    <row r="341" spans="1:19">
      <c r="A341" s="961"/>
      <c r="B341" s="136"/>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0</v>
      </c>
      <c r="R341" s="487">
        <f t="shared" si="61"/>
        <v>0</v>
      </c>
      <c r="S341" s="796">
        <f t="shared" si="63"/>
        <v>0</v>
      </c>
    </row>
    <row r="342" spans="1:19">
      <c r="A342" s="961"/>
      <c r="B342" s="136"/>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0</v>
      </c>
      <c r="R342" s="487">
        <f t="shared" si="61"/>
        <v>0</v>
      </c>
      <c r="S342" s="796">
        <f t="shared" si="63"/>
        <v>0</v>
      </c>
    </row>
    <row r="343" spans="1:19">
      <c r="A343" s="961"/>
      <c r="B343" s="136"/>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0</v>
      </c>
      <c r="R343" s="487">
        <f t="shared" si="61"/>
        <v>0</v>
      </c>
      <c r="S343" s="796">
        <f t="shared" si="63"/>
        <v>0</v>
      </c>
    </row>
    <row r="344" spans="1:19">
      <c r="A344" s="961"/>
      <c r="B344" s="136"/>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0</v>
      </c>
      <c r="R344" s="487">
        <f t="shared" si="61"/>
        <v>0</v>
      </c>
      <c r="S344" s="796">
        <f t="shared" si="63"/>
        <v>0</v>
      </c>
    </row>
    <row r="345" spans="1:19">
      <c r="A345" s="961"/>
      <c r="B345" s="136"/>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0</v>
      </c>
      <c r="R345" s="487">
        <f t="shared" si="61"/>
        <v>0</v>
      </c>
      <c r="S345" s="796">
        <f t="shared" si="63"/>
        <v>0</v>
      </c>
    </row>
    <row r="346" spans="1:19">
      <c r="A346" s="961"/>
      <c r="B346" s="136"/>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0</v>
      </c>
      <c r="R346" s="487">
        <f t="shared" ref="R346:R409" si="72">IF(B346="",0,ROUND($R$24*C346*E346*G346*I346*K346*M346*O346*Q346,0))</f>
        <v>0</v>
      </c>
      <c r="S346" s="796">
        <f t="shared" si="63"/>
        <v>0</v>
      </c>
    </row>
    <row r="347" spans="1:19">
      <c r="A347" s="961"/>
      <c r="B347" s="136"/>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0</v>
      </c>
      <c r="R347" s="487">
        <f t="shared" si="72"/>
        <v>0</v>
      </c>
      <c r="S347" s="796">
        <f t="shared" si="63"/>
        <v>0</v>
      </c>
    </row>
    <row r="348" spans="1:19">
      <c r="A348" s="961"/>
      <c r="B348" s="136"/>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0</v>
      </c>
      <c r="R348" s="487">
        <f t="shared" si="72"/>
        <v>0</v>
      </c>
      <c r="S348" s="796">
        <f t="shared" si="63"/>
        <v>0</v>
      </c>
    </row>
    <row r="349" spans="1:19">
      <c r="A349" s="961"/>
      <c r="B349" s="136"/>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0</v>
      </c>
      <c r="R349" s="487">
        <f t="shared" si="72"/>
        <v>0</v>
      </c>
      <c r="S349" s="796">
        <f t="shared" si="63"/>
        <v>0</v>
      </c>
    </row>
    <row r="350" spans="1:19">
      <c r="A350" s="961"/>
      <c r="B350" s="136"/>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0</v>
      </c>
      <c r="R350" s="487">
        <f t="shared" si="72"/>
        <v>0</v>
      </c>
      <c r="S350" s="796">
        <f t="shared" si="63"/>
        <v>0</v>
      </c>
    </row>
    <row r="351" spans="1:19">
      <c r="A351" s="961"/>
      <c r="B351" s="136"/>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0</v>
      </c>
      <c r="R351" s="487">
        <f t="shared" si="72"/>
        <v>0</v>
      </c>
      <c r="S351" s="796">
        <f t="shared" si="63"/>
        <v>0</v>
      </c>
    </row>
    <row r="352" spans="1:19">
      <c r="A352" s="961"/>
      <c r="B352" s="136"/>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0</v>
      </c>
      <c r="R352" s="487">
        <f t="shared" si="72"/>
        <v>0</v>
      </c>
      <c r="S352" s="796">
        <f t="shared" si="63"/>
        <v>0</v>
      </c>
    </row>
    <row r="353" spans="1:19">
      <c r="A353" s="961"/>
      <c r="B353" s="136"/>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0</v>
      </c>
      <c r="R353" s="487">
        <f t="shared" si="72"/>
        <v>0</v>
      </c>
      <c r="S353" s="796">
        <f t="shared" si="63"/>
        <v>0</v>
      </c>
    </row>
    <row r="354" spans="1:19">
      <c r="A354" s="961"/>
      <c r="B354" s="136"/>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0</v>
      </c>
      <c r="R354" s="487">
        <f t="shared" si="72"/>
        <v>0</v>
      </c>
      <c r="S354" s="796">
        <f t="shared" si="63"/>
        <v>0</v>
      </c>
    </row>
    <row r="355" spans="1:19">
      <c r="A355" s="961"/>
      <c r="B355" s="136"/>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0</v>
      </c>
      <c r="R355" s="487">
        <f t="shared" si="72"/>
        <v>0</v>
      </c>
      <c r="S355" s="796">
        <f t="shared" si="63"/>
        <v>0</v>
      </c>
    </row>
    <row r="356" spans="1:19">
      <c r="A356" s="961"/>
      <c r="B356" s="136"/>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0</v>
      </c>
      <c r="R356" s="487">
        <f t="shared" si="72"/>
        <v>0</v>
      </c>
      <c r="S356" s="796">
        <f t="shared" si="63"/>
        <v>0</v>
      </c>
    </row>
    <row r="357" spans="1:19">
      <c r="A357" s="961"/>
      <c r="B357" s="136"/>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0</v>
      </c>
      <c r="R357" s="487">
        <f t="shared" si="72"/>
        <v>0</v>
      </c>
      <c r="S357" s="796">
        <f t="shared" si="63"/>
        <v>0</v>
      </c>
    </row>
    <row r="358" spans="1:19">
      <c r="A358" s="961"/>
      <c r="B358" s="136"/>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0</v>
      </c>
      <c r="R358" s="487">
        <f t="shared" si="72"/>
        <v>0</v>
      </c>
      <c r="S358" s="796">
        <f t="shared" si="63"/>
        <v>0</v>
      </c>
    </row>
    <row r="359" spans="1:19">
      <c r="A359" s="961"/>
      <c r="B359" s="136"/>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0</v>
      </c>
      <c r="R359" s="487">
        <f t="shared" si="72"/>
        <v>0</v>
      </c>
      <c r="S359" s="796">
        <f t="shared" si="63"/>
        <v>0</v>
      </c>
    </row>
    <row r="360" spans="1:19">
      <c r="A360" s="961"/>
      <c r="B360" s="136"/>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0</v>
      </c>
      <c r="R360" s="487">
        <f t="shared" si="72"/>
        <v>0</v>
      </c>
      <c r="S360" s="796">
        <f t="shared" si="63"/>
        <v>0</v>
      </c>
    </row>
    <row r="361" spans="1:19">
      <c r="A361" s="961"/>
      <c r="B361" s="136"/>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0</v>
      </c>
      <c r="R361" s="487">
        <f t="shared" si="72"/>
        <v>0</v>
      </c>
      <c r="S361" s="796">
        <f t="shared" si="63"/>
        <v>0</v>
      </c>
    </row>
    <row r="362" spans="1:19">
      <c r="A362" s="961"/>
      <c r="B362" s="136"/>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0</v>
      </c>
      <c r="R362" s="487">
        <f t="shared" si="72"/>
        <v>0</v>
      </c>
      <c r="S362" s="796">
        <f t="shared" si="63"/>
        <v>0</v>
      </c>
    </row>
    <row r="363" spans="1:19">
      <c r="A363" s="961"/>
      <c r="B363" s="136"/>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0</v>
      </c>
      <c r="R363" s="487">
        <f t="shared" si="72"/>
        <v>0</v>
      </c>
      <c r="S363" s="796">
        <f t="shared" si="63"/>
        <v>0</v>
      </c>
    </row>
    <row r="364" spans="1:19">
      <c r="A364" s="961"/>
      <c r="B364" s="136"/>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0</v>
      </c>
      <c r="R364" s="487">
        <f t="shared" si="72"/>
        <v>0</v>
      </c>
      <c r="S364" s="796">
        <f t="shared" si="63"/>
        <v>0</v>
      </c>
    </row>
    <row r="365" spans="1:19">
      <c r="A365" s="961"/>
      <c r="B365" s="136"/>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0</v>
      </c>
      <c r="R365" s="487">
        <f t="shared" si="72"/>
        <v>0</v>
      </c>
      <c r="S365" s="796">
        <f t="shared" si="63"/>
        <v>0</v>
      </c>
    </row>
    <row r="366" spans="1:19">
      <c r="A366" s="961"/>
      <c r="B366" s="136"/>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0</v>
      </c>
      <c r="R366" s="487">
        <f t="shared" si="72"/>
        <v>0</v>
      </c>
      <c r="S366" s="796">
        <f t="shared" si="63"/>
        <v>0</v>
      </c>
    </row>
    <row r="367" spans="1:19">
      <c r="A367" s="961"/>
      <c r="B367" s="136"/>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0</v>
      </c>
      <c r="R367" s="487">
        <f t="shared" si="72"/>
        <v>0</v>
      </c>
      <c r="S367" s="796">
        <f t="shared" si="63"/>
        <v>0</v>
      </c>
    </row>
    <row r="368" spans="1:19">
      <c r="A368" s="961"/>
      <c r="B368" s="136"/>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0</v>
      </c>
      <c r="R368" s="487">
        <f t="shared" si="72"/>
        <v>0</v>
      </c>
      <c r="S368" s="796">
        <f t="shared" si="63"/>
        <v>0</v>
      </c>
    </row>
    <row r="369" spans="1:19">
      <c r="A369" s="961"/>
      <c r="B369" s="136"/>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0</v>
      </c>
      <c r="R369" s="487">
        <f t="shared" si="72"/>
        <v>0</v>
      </c>
      <c r="S369" s="796">
        <f t="shared" si="63"/>
        <v>0</v>
      </c>
    </row>
    <row r="370" spans="1:19">
      <c r="A370" s="961"/>
      <c r="B370" s="136"/>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0</v>
      </c>
      <c r="R370" s="487">
        <f t="shared" si="72"/>
        <v>0</v>
      </c>
      <c r="S370" s="796">
        <f t="shared" si="63"/>
        <v>0</v>
      </c>
    </row>
    <row r="371" spans="1:19">
      <c r="A371" s="961"/>
      <c r="B371" s="136"/>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0</v>
      </c>
      <c r="R371" s="487">
        <f t="shared" si="72"/>
        <v>0</v>
      </c>
      <c r="S371" s="796">
        <f t="shared" si="63"/>
        <v>0</v>
      </c>
    </row>
    <row r="372" spans="1:19">
      <c r="A372" s="961"/>
      <c r="B372" s="136"/>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0</v>
      </c>
      <c r="R372" s="487">
        <f t="shared" si="72"/>
        <v>0</v>
      </c>
      <c r="S372" s="796">
        <f t="shared" si="63"/>
        <v>0</v>
      </c>
    </row>
    <row r="373" spans="1:19">
      <c r="A373" s="961"/>
      <c r="B373" s="136"/>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0</v>
      </c>
      <c r="R373" s="487">
        <f t="shared" si="72"/>
        <v>0</v>
      </c>
      <c r="S373" s="796">
        <f t="shared" si="63"/>
        <v>0</v>
      </c>
    </row>
    <row r="374" spans="1:19">
      <c r="A374" s="961"/>
      <c r="B374" s="136"/>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0</v>
      </c>
      <c r="R374" s="487">
        <f t="shared" si="72"/>
        <v>0</v>
      </c>
      <c r="S374" s="796">
        <f t="shared" si="63"/>
        <v>0</v>
      </c>
    </row>
    <row r="375" spans="1:19">
      <c r="A375" s="961"/>
      <c r="B375" s="136"/>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0</v>
      </c>
      <c r="R375" s="487">
        <f t="shared" si="72"/>
        <v>0</v>
      </c>
      <c r="S375" s="796">
        <f t="shared" si="63"/>
        <v>0</v>
      </c>
    </row>
    <row r="376" spans="1:19">
      <c r="A376" s="961"/>
      <c r="B376" s="136"/>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0</v>
      </c>
      <c r="R376" s="487">
        <f t="shared" si="72"/>
        <v>0</v>
      </c>
      <c r="S376" s="796">
        <f t="shared" si="63"/>
        <v>0</v>
      </c>
    </row>
    <row r="377" spans="1:19">
      <c r="A377" s="961"/>
      <c r="B377" s="136"/>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0</v>
      </c>
      <c r="R377" s="487">
        <f t="shared" si="72"/>
        <v>0</v>
      </c>
      <c r="S377" s="796">
        <f t="shared" si="63"/>
        <v>0</v>
      </c>
    </row>
    <row r="378" spans="1:19">
      <c r="A378" s="961"/>
      <c r="B378" s="136"/>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0</v>
      </c>
      <c r="R378" s="487">
        <f t="shared" si="72"/>
        <v>0</v>
      </c>
      <c r="S378" s="796">
        <f t="shared" si="63"/>
        <v>0</v>
      </c>
    </row>
    <row r="379" spans="1:19">
      <c r="A379" s="961"/>
      <c r="B379" s="136"/>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0</v>
      </c>
      <c r="R379" s="487">
        <f t="shared" si="72"/>
        <v>0</v>
      </c>
      <c r="S379" s="796">
        <f t="shared" si="63"/>
        <v>0</v>
      </c>
    </row>
    <row r="380" spans="1:19">
      <c r="A380" s="961"/>
      <c r="B380" s="136"/>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0</v>
      </c>
      <c r="R380" s="487">
        <f t="shared" si="72"/>
        <v>0</v>
      </c>
      <c r="S380" s="796">
        <f t="shared" si="63"/>
        <v>0</v>
      </c>
    </row>
    <row r="381" spans="1:19">
      <c r="A381" s="961"/>
      <c r="B381" s="136"/>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0</v>
      </c>
      <c r="R381" s="487">
        <f t="shared" si="72"/>
        <v>0</v>
      </c>
      <c r="S381" s="796">
        <f t="shared" si="63"/>
        <v>0</v>
      </c>
    </row>
    <row r="382" spans="1:19">
      <c r="A382" s="961"/>
      <c r="B382" s="136"/>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0</v>
      </c>
      <c r="R382" s="487">
        <f t="shared" si="72"/>
        <v>0</v>
      </c>
      <c r="S382" s="796">
        <f t="shared" si="63"/>
        <v>0</v>
      </c>
    </row>
    <row r="383" spans="1:19">
      <c r="A383" s="961"/>
      <c r="B383" s="136"/>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0</v>
      </c>
      <c r="R383" s="487">
        <f t="shared" si="72"/>
        <v>0</v>
      </c>
      <c r="S383" s="796">
        <f t="shared" si="63"/>
        <v>0</v>
      </c>
    </row>
    <row r="384" spans="1:19">
      <c r="A384" s="961"/>
      <c r="B384" s="136"/>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0</v>
      </c>
      <c r="R384" s="487">
        <f t="shared" si="72"/>
        <v>0</v>
      </c>
      <c r="S384" s="796">
        <f t="shared" si="63"/>
        <v>0</v>
      </c>
    </row>
    <row r="385" spans="1:19">
      <c r="A385" s="961"/>
      <c r="B385" s="136"/>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0</v>
      </c>
      <c r="R385" s="487">
        <f t="shared" si="72"/>
        <v>0</v>
      </c>
      <c r="S385" s="796">
        <f t="shared" ref="S385:S422" si="73">ROUND(R385*B385/10000,0)</f>
        <v>0</v>
      </c>
    </row>
    <row r="386" spans="1:19">
      <c r="A386" s="961"/>
      <c r="B386" s="136"/>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0</v>
      </c>
      <c r="R386" s="487">
        <f t="shared" si="72"/>
        <v>0</v>
      </c>
      <c r="S386" s="796">
        <f t="shared" si="73"/>
        <v>0</v>
      </c>
    </row>
    <row r="387" spans="1:19">
      <c r="A387" s="961"/>
      <c r="B387" s="136"/>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0</v>
      </c>
      <c r="R387" s="487">
        <f t="shared" si="72"/>
        <v>0</v>
      </c>
      <c r="S387" s="796">
        <f t="shared" si="73"/>
        <v>0</v>
      </c>
    </row>
    <row r="388" spans="1:19">
      <c r="A388" s="961"/>
      <c r="B388" s="136"/>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0</v>
      </c>
      <c r="R388" s="487">
        <f t="shared" si="72"/>
        <v>0</v>
      </c>
      <c r="S388" s="796">
        <f t="shared" si="73"/>
        <v>0</v>
      </c>
    </row>
    <row r="389" spans="1:19">
      <c r="A389" s="961"/>
      <c r="B389" s="136"/>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0</v>
      </c>
      <c r="R389" s="487">
        <f t="shared" si="72"/>
        <v>0</v>
      </c>
      <c r="S389" s="796">
        <f t="shared" si="73"/>
        <v>0</v>
      </c>
    </row>
    <row r="390" spans="1:19">
      <c r="A390" s="961"/>
      <c r="B390" s="136"/>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0</v>
      </c>
      <c r="R390" s="487">
        <f t="shared" si="72"/>
        <v>0</v>
      </c>
      <c r="S390" s="796">
        <f t="shared" si="73"/>
        <v>0</v>
      </c>
    </row>
    <row r="391" spans="1:19">
      <c r="A391" s="961"/>
      <c r="B391" s="136"/>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0</v>
      </c>
      <c r="R391" s="487">
        <f t="shared" si="72"/>
        <v>0</v>
      </c>
      <c r="S391" s="796">
        <f t="shared" si="73"/>
        <v>0</v>
      </c>
    </row>
    <row r="392" spans="1:19">
      <c r="A392" s="961"/>
      <c r="B392" s="136"/>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0</v>
      </c>
      <c r="R392" s="487">
        <f t="shared" si="72"/>
        <v>0</v>
      </c>
      <c r="S392" s="796">
        <f t="shared" si="73"/>
        <v>0</v>
      </c>
    </row>
    <row r="393" spans="1:19">
      <c r="A393" s="961"/>
      <c r="B393" s="136"/>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0</v>
      </c>
      <c r="R393" s="487">
        <f t="shared" si="72"/>
        <v>0</v>
      </c>
      <c r="S393" s="796">
        <f t="shared" si="73"/>
        <v>0</v>
      </c>
    </row>
    <row r="394" spans="1:19">
      <c r="A394" s="961"/>
      <c r="B394" s="136"/>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0</v>
      </c>
      <c r="R394" s="487">
        <f t="shared" si="72"/>
        <v>0</v>
      </c>
      <c r="S394" s="796">
        <f t="shared" si="73"/>
        <v>0</v>
      </c>
    </row>
    <row r="395" spans="1:19">
      <c r="A395" s="961"/>
      <c r="B395" s="136"/>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0</v>
      </c>
      <c r="R395" s="487">
        <f t="shared" si="72"/>
        <v>0</v>
      </c>
      <c r="S395" s="796">
        <f t="shared" si="73"/>
        <v>0</v>
      </c>
    </row>
    <row r="396" spans="1:19">
      <c r="A396" s="961"/>
      <c r="B396" s="136"/>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0</v>
      </c>
      <c r="R396" s="487">
        <f t="shared" si="72"/>
        <v>0</v>
      </c>
      <c r="S396" s="796">
        <f t="shared" si="73"/>
        <v>0</v>
      </c>
    </row>
    <row r="397" spans="1:19">
      <c r="A397" s="961"/>
      <c r="B397" s="136"/>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0</v>
      </c>
      <c r="R397" s="487">
        <f t="shared" si="72"/>
        <v>0</v>
      </c>
      <c r="S397" s="796">
        <f t="shared" si="73"/>
        <v>0</v>
      </c>
    </row>
    <row r="398" spans="1:19">
      <c r="A398" s="961"/>
      <c r="B398" s="136"/>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0</v>
      </c>
      <c r="R398" s="487">
        <f t="shared" si="72"/>
        <v>0</v>
      </c>
      <c r="S398" s="796">
        <f t="shared" si="73"/>
        <v>0</v>
      </c>
    </row>
    <row r="399" spans="1:19">
      <c r="A399" s="961"/>
      <c r="B399" s="136"/>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0</v>
      </c>
      <c r="R399" s="487">
        <f t="shared" si="72"/>
        <v>0</v>
      </c>
      <c r="S399" s="796">
        <f t="shared" si="73"/>
        <v>0</v>
      </c>
    </row>
    <row r="400" spans="1:19">
      <c r="A400" s="961"/>
      <c r="B400" s="136"/>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0</v>
      </c>
      <c r="R400" s="487">
        <f t="shared" si="72"/>
        <v>0</v>
      </c>
      <c r="S400" s="796">
        <f t="shared" si="73"/>
        <v>0</v>
      </c>
    </row>
    <row r="401" spans="1:19">
      <c r="A401" s="961"/>
      <c r="B401" s="136"/>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0</v>
      </c>
      <c r="R401" s="487">
        <f t="shared" si="72"/>
        <v>0</v>
      </c>
      <c r="S401" s="796">
        <f t="shared" si="73"/>
        <v>0</v>
      </c>
    </row>
    <row r="402" spans="1:19">
      <c r="A402" s="961"/>
      <c r="B402" s="136"/>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0</v>
      </c>
      <c r="R402" s="487">
        <f t="shared" si="72"/>
        <v>0</v>
      </c>
      <c r="S402" s="796">
        <f t="shared" si="73"/>
        <v>0</v>
      </c>
    </row>
    <row r="403" spans="1:19">
      <c r="A403" s="961"/>
      <c r="B403" s="136"/>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0</v>
      </c>
      <c r="R403" s="487">
        <f t="shared" si="72"/>
        <v>0</v>
      </c>
      <c r="S403" s="796">
        <f t="shared" si="73"/>
        <v>0</v>
      </c>
    </row>
    <row r="404" spans="1:19">
      <c r="A404" s="961"/>
      <c r="B404" s="136"/>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0</v>
      </c>
      <c r="R404" s="487">
        <f t="shared" si="72"/>
        <v>0</v>
      </c>
      <c r="S404" s="796">
        <f t="shared" si="73"/>
        <v>0</v>
      </c>
    </row>
    <row r="405" spans="1:19">
      <c r="A405" s="961"/>
      <c r="B405" s="136"/>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0</v>
      </c>
      <c r="R405" s="487">
        <f t="shared" si="72"/>
        <v>0</v>
      </c>
      <c r="S405" s="796">
        <f t="shared" si="73"/>
        <v>0</v>
      </c>
    </row>
    <row r="406" spans="1:19">
      <c r="A406" s="961"/>
      <c r="B406" s="136"/>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0</v>
      </c>
      <c r="R406" s="487">
        <f t="shared" si="72"/>
        <v>0</v>
      </c>
      <c r="S406" s="796">
        <f t="shared" si="73"/>
        <v>0</v>
      </c>
    </row>
    <row r="407" spans="1:19">
      <c r="A407" s="961"/>
      <c r="B407" s="136"/>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0</v>
      </c>
      <c r="R407" s="487">
        <f t="shared" si="72"/>
        <v>0</v>
      </c>
      <c r="S407" s="796">
        <f t="shared" si="73"/>
        <v>0</v>
      </c>
    </row>
    <row r="408" spans="1:19">
      <c r="A408" s="961"/>
      <c r="B408" s="136"/>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0</v>
      </c>
      <c r="R408" s="487">
        <f t="shared" si="72"/>
        <v>0</v>
      </c>
      <c r="S408" s="796">
        <f t="shared" si="73"/>
        <v>0</v>
      </c>
    </row>
    <row r="409" spans="1:19">
      <c r="A409" s="961"/>
      <c r="B409" s="136"/>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0</v>
      </c>
      <c r="R409" s="487">
        <f t="shared" si="72"/>
        <v>0</v>
      </c>
      <c r="S409" s="796">
        <f t="shared" si="73"/>
        <v>0</v>
      </c>
    </row>
    <row r="410" spans="1:19">
      <c r="A410" s="961"/>
      <c r="B410" s="136"/>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0</v>
      </c>
      <c r="R410" s="487">
        <f t="shared" ref="R410:R473" si="82">IF(B410="",0,ROUND($R$24*C410*E410*G410*I410*K410*M410*O410*Q410,0))</f>
        <v>0</v>
      </c>
      <c r="S410" s="796">
        <f t="shared" si="73"/>
        <v>0</v>
      </c>
    </row>
    <row r="411" spans="1:19">
      <c r="A411" s="961"/>
      <c r="B411" s="136"/>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0</v>
      </c>
      <c r="R411" s="487">
        <f t="shared" si="82"/>
        <v>0</v>
      </c>
      <c r="S411" s="796">
        <f t="shared" si="73"/>
        <v>0</v>
      </c>
    </row>
    <row r="412" spans="1:19">
      <c r="A412" s="961"/>
      <c r="B412" s="136"/>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0</v>
      </c>
      <c r="R412" s="487">
        <f t="shared" si="82"/>
        <v>0</v>
      </c>
      <c r="S412" s="796">
        <f t="shared" si="73"/>
        <v>0</v>
      </c>
    </row>
    <row r="413" spans="1:19">
      <c r="A413" s="961"/>
      <c r="B413" s="136"/>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0</v>
      </c>
      <c r="R413" s="487">
        <f t="shared" si="82"/>
        <v>0</v>
      </c>
      <c r="S413" s="796">
        <f t="shared" si="73"/>
        <v>0</v>
      </c>
    </row>
    <row r="414" spans="1:19">
      <c r="A414" s="961"/>
      <c r="B414" s="136"/>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0</v>
      </c>
      <c r="R414" s="487">
        <f t="shared" si="82"/>
        <v>0</v>
      </c>
      <c r="S414" s="796">
        <f t="shared" si="73"/>
        <v>0</v>
      </c>
    </row>
    <row r="415" spans="1:19">
      <c r="A415" s="961"/>
      <c r="B415" s="136"/>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0</v>
      </c>
      <c r="R415" s="487">
        <f t="shared" si="82"/>
        <v>0</v>
      </c>
      <c r="S415" s="796">
        <f t="shared" si="73"/>
        <v>0</v>
      </c>
    </row>
    <row r="416" spans="1:19">
      <c r="A416" s="961"/>
      <c r="B416" s="136"/>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0</v>
      </c>
      <c r="R416" s="487">
        <f t="shared" si="82"/>
        <v>0</v>
      </c>
      <c r="S416" s="796">
        <f t="shared" si="73"/>
        <v>0</v>
      </c>
    </row>
    <row r="417" spans="1:19">
      <c r="A417" s="961"/>
      <c r="B417" s="136"/>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0</v>
      </c>
      <c r="R417" s="487">
        <f t="shared" si="82"/>
        <v>0</v>
      </c>
      <c r="S417" s="796">
        <f t="shared" si="73"/>
        <v>0</v>
      </c>
    </row>
    <row r="418" spans="1:19">
      <c r="A418" s="961"/>
      <c r="B418" s="136"/>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0</v>
      </c>
      <c r="R418" s="487">
        <f t="shared" si="82"/>
        <v>0</v>
      </c>
      <c r="S418" s="796">
        <f t="shared" si="73"/>
        <v>0</v>
      </c>
    </row>
    <row r="419" spans="1:19">
      <c r="A419" s="961"/>
      <c r="B419" s="136"/>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0</v>
      </c>
      <c r="R419" s="487">
        <f t="shared" si="82"/>
        <v>0</v>
      </c>
      <c r="S419" s="796">
        <f t="shared" si="73"/>
        <v>0</v>
      </c>
    </row>
    <row r="420" spans="1:19">
      <c r="A420" s="961"/>
      <c r="B420" s="136"/>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0</v>
      </c>
      <c r="R420" s="487">
        <f t="shared" si="82"/>
        <v>0</v>
      </c>
      <c r="S420" s="796">
        <f t="shared" si="73"/>
        <v>0</v>
      </c>
    </row>
    <row r="421" spans="1:19">
      <c r="A421" s="961"/>
      <c r="B421" s="136"/>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0</v>
      </c>
      <c r="R421" s="487">
        <f t="shared" si="82"/>
        <v>0</v>
      </c>
      <c r="S421" s="796">
        <f t="shared" si="73"/>
        <v>0</v>
      </c>
    </row>
    <row r="422" spans="1:19">
      <c r="A422" s="961"/>
      <c r="B422" s="136"/>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0</v>
      </c>
      <c r="R422" s="487">
        <f t="shared" si="82"/>
        <v>0</v>
      </c>
      <c r="S422" s="796">
        <f t="shared" si="73"/>
        <v>0</v>
      </c>
    </row>
    <row r="423" spans="1:19">
      <c r="A423" s="961"/>
      <c r="B423" s="136"/>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0</v>
      </c>
      <c r="R423" s="487">
        <f t="shared" si="82"/>
        <v>0</v>
      </c>
      <c r="S423" s="796">
        <f t="shared" ref="S423:S467" si="83">ROUND(R423*B423/10000,0)</f>
        <v>0</v>
      </c>
    </row>
    <row r="424" spans="1:19">
      <c r="A424" s="961"/>
      <c r="B424" s="136"/>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0</v>
      </c>
      <c r="R424" s="487">
        <f t="shared" si="82"/>
        <v>0</v>
      </c>
      <c r="S424" s="796">
        <f t="shared" si="83"/>
        <v>0</v>
      </c>
    </row>
    <row r="425" spans="1:19">
      <c r="A425" s="961"/>
      <c r="B425" s="136"/>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0</v>
      </c>
      <c r="R425" s="487">
        <f t="shared" si="82"/>
        <v>0</v>
      </c>
      <c r="S425" s="796">
        <f t="shared" si="83"/>
        <v>0</v>
      </c>
    </row>
    <row r="426" spans="1:19">
      <c r="A426" s="961"/>
      <c r="B426" s="136"/>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0</v>
      </c>
      <c r="R426" s="487">
        <f t="shared" si="82"/>
        <v>0</v>
      </c>
      <c r="S426" s="796">
        <f t="shared" si="83"/>
        <v>0</v>
      </c>
    </row>
    <row r="427" spans="1:19">
      <c r="A427" s="961"/>
      <c r="B427" s="136"/>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0</v>
      </c>
      <c r="R427" s="487">
        <f t="shared" si="82"/>
        <v>0</v>
      </c>
      <c r="S427" s="796">
        <f t="shared" si="83"/>
        <v>0</v>
      </c>
    </row>
    <row r="428" spans="1:19">
      <c r="A428" s="961"/>
      <c r="B428" s="136"/>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0</v>
      </c>
      <c r="R428" s="487">
        <f t="shared" si="82"/>
        <v>0</v>
      </c>
      <c r="S428" s="796">
        <f t="shared" si="83"/>
        <v>0</v>
      </c>
    </row>
    <row r="429" spans="1:19">
      <c r="A429" s="961"/>
      <c r="B429" s="136"/>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0</v>
      </c>
      <c r="R429" s="487">
        <f t="shared" si="82"/>
        <v>0</v>
      </c>
      <c r="S429" s="796">
        <f t="shared" si="83"/>
        <v>0</v>
      </c>
    </row>
    <row r="430" spans="1:19">
      <c r="A430" s="961"/>
      <c r="B430" s="136"/>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0</v>
      </c>
      <c r="R430" s="487">
        <f t="shared" si="82"/>
        <v>0</v>
      </c>
      <c r="S430" s="796">
        <f t="shared" si="83"/>
        <v>0</v>
      </c>
    </row>
    <row r="431" spans="1:19">
      <c r="A431" s="961"/>
      <c r="B431" s="136"/>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0</v>
      </c>
      <c r="R431" s="487">
        <f t="shared" si="82"/>
        <v>0</v>
      </c>
      <c r="S431" s="796">
        <f t="shared" si="83"/>
        <v>0</v>
      </c>
    </row>
    <row r="432" spans="1:19">
      <c r="A432" s="961"/>
      <c r="B432" s="136"/>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0</v>
      </c>
      <c r="R432" s="487">
        <f t="shared" si="82"/>
        <v>0</v>
      </c>
      <c r="S432" s="796">
        <f t="shared" si="83"/>
        <v>0</v>
      </c>
    </row>
    <row r="433" spans="1:19">
      <c r="A433" s="961"/>
      <c r="B433" s="136"/>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0</v>
      </c>
      <c r="R433" s="487">
        <f t="shared" si="82"/>
        <v>0</v>
      </c>
      <c r="S433" s="796">
        <f t="shared" si="83"/>
        <v>0</v>
      </c>
    </row>
    <row r="434" spans="1:19">
      <c r="A434" s="961"/>
      <c r="B434" s="136"/>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0</v>
      </c>
      <c r="R434" s="487">
        <f t="shared" si="82"/>
        <v>0</v>
      </c>
      <c r="S434" s="796">
        <f t="shared" si="83"/>
        <v>0</v>
      </c>
    </row>
    <row r="435" spans="1:19">
      <c r="A435" s="961"/>
      <c r="B435" s="136"/>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0</v>
      </c>
      <c r="R435" s="487">
        <f t="shared" si="82"/>
        <v>0</v>
      </c>
      <c r="S435" s="796">
        <f t="shared" si="83"/>
        <v>0</v>
      </c>
    </row>
    <row r="436" spans="1:19">
      <c r="A436" s="961"/>
      <c r="B436" s="136"/>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0</v>
      </c>
      <c r="R436" s="487">
        <f t="shared" si="82"/>
        <v>0</v>
      </c>
      <c r="S436" s="796">
        <f t="shared" si="83"/>
        <v>0</v>
      </c>
    </row>
    <row r="437" spans="1:19">
      <c r="A437" s="961"/>
      <c r="B437" s="136"/>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0</v>
      </c>
      <c r="R437" s="487">
        <f t="shared" si="82"/>
        <v>0</v>
      </c>
      <c r="S437" s="796">
        <f t="shared" si="83"/>
        <v>0</v>
      </c>
    </row>
    <row r="438" spans="1:19">
      <c r="A438" s="961"/>
      <c r="B438" s="136"/>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0</v>
      </c>
      <c r="R438" s="487">
        <f t="shared" si="82"/>
        <v>0</v>
      </c>
      <c r="S438" s="796">
        <f t="shared" si="83"/>
        <v>0</v>
      </c>
    </row>
    <row r="439" spans="1:19">
      <c r="A439" s="961"/>
      <c r="B439" s="136"/>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0</v>
      </c>
      <c r="R439" s="487">
        <f t="shared" si="82"/>
        <v>0</v>
      </c>
      <c r="S439" s="796">
        <f t="shared" si="83"/>
        <v>0</v>
      </c>
    </row>
    <row r="440" spans="1:19">
      <c r="A440" s="961"/>
      <c r="B440" s="136"/>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0</v>
      </c>
      <c r="R440" s="487">
        <f t="shared" si="82"/>
        <v>0</v>
      </c>
      <c r="S440" s="796">
        <f t="shared" si="83"/>
        <v>0</v>
      </c>
    </row>
    <row r="441" spans="1:19">
      <c r="A441" s="961"/>
      <c r="B441" s="136"/>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0</v>
      </c>
      <c r="R441" s="487">
        <f t="shared" si="82"/>
        <v>0</v>
      </c>
      <c r="S441" s="796">
        <f t="shared" si="83"/>
        <v>0</v>
      </c>
    </row>
    <row r="442" spans="1:19">
      <c r="A442" s="961"/>
      <c r="B442" s="136"/>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0</v>
      </c>
      <c r="R442" s="487">
        <f t="shared" si="82"/>
        <v>0</v>
      </c>
      <c r="S442" s="796">
        <f t="shared" si="83"/>
        <v>0</v>
      </c>
    </row>
    <row r="443" spans="1:19">
      <c r="A443" s="961"/>
      <c r="B443" s="136"/>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0</v>
      </c>
      <c r="R443" s="487">
        <f t="shared" si="82"/>
        <v>0</v>
      </c>
      <c r="S443" s="796">
        <f t="shared" si="83"/>
        <v>0</v>
      </c>
    </row>
    <row r="444" spans="1:19">
      <c r="A444" s="961"/>
      <c r="B444" s="136"/>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0</v>
      </c>
      <c r="R444" s="487">
        <f t="shared" si="82"/>
        <v>0</v>
      </c>
      <c r="S444" s="796">
        <f t="shared" si="83"/>
        <v>0</v>
      </c>
    </row>
    <row r="445" spans="1:19">
      <c r="A445" s="961"/>
      <c r="B445" s="136"/>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0</v>
      </c>
      <c r="R445" s="487">
        <f t="shared" si="82"/>
        <v>0</v>
      </c>
      <c r="S445" s="796">
        <f t="shared" si="83"/>
        <v>0</v>
      </c>
    </row>
    <row r="446" spans="1:19">
      <c r="A446" s="961"/>
      <c r="B446" s="136"/>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0</v>
      </c>
      <c r="R446" s="487">
        <f t="shared" si="82"/>
        <v>0</v>
      </c>
      <c r="S446" s="796">
        <f t="shared" si="83"/>
        <v>0</v>
      </c>
    </row>
    <row r="447" spans="1:19">
      <c r="A447" s="961"/>
      <c r="B447" s="136"/>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0</v>
      </c>
      <c r="R447" s="487">
        <f t="shared" si="82"/>
        <v>0</v>
      </c>
      <c r="S447" s="796">
        <f t="shared" si="83"/>
        <v>0</v>
      </c>
    </row>
    <row r="448" spans="1:19">
      <c r="A448" s="961"/>
      <c r="B448" s="136"/>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0</v>
      </c>
      <c r="R448" s="487">
        <f t="shared" si="82"/>
        <v>0</v>
      </c>
      <c r="S448" s="796">
        <f t="shared" si="83"/>
        <v>0</v>
      </c>
    </row>
    <row r="449" spans="1:19">
      <c r="A449" s="961"/>
      <c r="B449" s="136"/>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0</v>
      </c>
      <c r="R449" s="487">
        <f t="shared" si="82"/>
        <v>0</v>
      </c>
      <c r="S449" s="796">
        <f t="shared" si="83"/>
        <v>0</v>
      </c>
    </row>
    <row r="450" spans="1:19">
      <c r="A450" s="961"/>
      <c r="B450" s="136"/>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0</v>
      </c>
      <c r="R450" s="487">
        <f t="shared" si="82"/>
        <v>0</v>
      </c>
      <c r="S450" s="796">
        <f t="shared" si="83"/>
        <v>0</v>
      </c>
    </row>
    <row r="451" spans="1:19">
      <c r="A451" s="961"/>
      <c r="B451" s="136"/>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0</v>
      </c>
      <c r="R451" s="487">
        <f t="shared" si="82"/>
        <v>0</v>
      </c>
      <c r="S451" s="796">
        <f t="shared" si="83"/>
        <v>0</v>
      </c>
    </row>
    <row r="452" spans="1:19">
      <c r="A452" s="961"/>
      <c r="B452" s="136"/>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0</v>
      </c>
      <c r="R452" s="487">
        <f t="shared" si="82"/>
        <v>0</v>
      </c>
      <c r="S452" s="796">
        <f t="shared" si="83"/>
        <v>0</v>
      </c>
    </row>
    <row r="453" spans="1:19">
      <c r="A453" s="961"/>
      <c r="B453" s="136"/>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0</v>
      </c>
      <c r="R453" s="487">
        <f t="shared" si="82"/>
        <v>0</v>
      </c>
      <c r="S453" s="796">
        <f t="shared" si="83"/>
        <v>0</v>
      </c>
    </row>
    <row r="454" spans="1:19">
      <c r="A454" s="961"/>
      <c r="B454" s="136"/>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0</v>
      </c>
      <c r="R454" s="487">
        <f t="shared" si="82"/>
        <v>0</v>
      </c>
      <c r="S454" s="796">
        <f t="shared" si="83"/>
        <v>0</v>
      </c>
    </row>
    <row r="455" spans="1:19">
      <c r="A455" s="961"/>
      <c r="B455" s="136"/>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0</v>
      </c>
      <c r="R455" s="487">
        <f t="shared" si="82"/>
        <v>0</v>
      </c>
      <c r="S455" s="796">
        <f t="shared" si="83"/>
        <v>0</v>
      </c>
    </row>
    <row r="456" spans="1:19">
      <c r="A456" s="961"/>
      <c r="B456" s="136"/>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0</v>
      </c>
      <c r="R456" s="487">
        <f t="shared" si="82"/>
        <v>0</v>
      </c>
      <c r="S456" s="796">
        <f t="shared" si="83"/>
        <v>0</v>
      </c>
    </row>
    <row r="457" spans="1:19">
      <c r="A457" s="961"/>
      <c r="B457" s="136"/>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0</v>
      </c>
      <c r="R457" s="487">
        <f t="shared" si="82"/>
        <v>0</v>
      </c>
      <c r="S457" s="796">
        <f t="shared" si="83"/>
        <v>0</v>
      </c>
    </row>
    <row r="458" spans="1:19">
      <c r="A458" s="961"/>
      <c r="B458" s="136"/>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0</v>
      </c>
      <c r="R458" s="487">
        <f t="shared" si="82"/>
        <v>0</v>
      </c>
      <c r="S458" s="796">
        <f t="shared" si="83"/>
        <v>0</v>
      </c>
    </row>
    <row r="459" spans="1:19">
      <c r="A459" s="961"/>
      <c r="B459" s="136"/>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0</v>
      </c>
      <c r="R459" s="487">
        <f t="shared" si="82"/>
        <v>0</v>
      </c>
      <c r="S459" s="796">
        <f t="shared" si="83"/>
        <v>0</v>
      </c>
    </row>
    <row r="460" spans="1:19">
      <c r="A460" s="961"/>
      <c r="B460" s="136"/>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0</v>
      </c>
      <c r="R460" s="487">
        <f t="shared" si="82"/>
        <v>0</v>
      </c>
      <c r="S460" s="796">
        <f t="shared" si="83"/>
        <v>0</v>
      </c>
    </row>
    <row r="461" spans="1:19">
      <c r="A461" s="961"/>
      <c r="B461" s="136"/>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0</v>
      </c>
      <c r="R461" s="487">
        <f t="shared" si="82"/>
        <v>0</v>
      </c>
      <c r="S461" s="796">
        <f t="shared" si="83"/>
        <v>0</v>
      </c>
    </row>
    <row r="462" spans="1:19">
      <c r="A462" s="961"/>
      <c r="B462" s="136"/>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0</v>
      </c>
      <c r="R462" s="487">
        <f t="shared" si="82"/>
        <v>0</v>
      </c>
      <c r="S462" s="796">
        <f t="shared" si="83"/>
        <v>0</v>
      </c>
    </row>
    <row r="463" spans="1:19">
      <c r="A463" s="961"/>
      <c r="B463" s="136"/>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0</v>
      </c>
      <c r="R463" s="487">
        <f t="shared" si="82"/>
        <v>0</v>
      </c>
      <c r="S463" s="796">
        <f t="shared" si="83"/>
        <v>0</v>
      </c>
    </row>
    <row r="464" spans="1:19">
      <c r="A464" s="961"/>
      <c r="B464" s="136"/>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0</v>
      </c>
      <c r="R464" s="487">
        <f t="shared" si="82"/>
        <v>0</v>
      </c>
      <c r="S464" s="796">
        <f t="shared" si="83"/>
        <v>0</v>
      </c>
    </row>
    <row r="465" spans="1:19">
      <c r="A465" s="961"/>
      <c r="B465" s="136"/>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0</v>
      </c>
      <c r="R465" s="487">
        <f t="shared" si="82"/>
        <v>0</v>
      </c>
      <c r="S465" s="796">
        <f t="shared" si="83"/>
        <v>0</v>
      </c>
    </row>
    <row r="466" spans="1:19">
      <c r="A466" s="961"/>
      <c r="B466" s="136"/>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0</v>
      </c>
      <c r="R466" s="487">
        <f t="shared" si="82"/>
        <v>0</v>
      </c>
      <c r="S466" s="796">
        <f t="shared" si="83"/>
        <v>0</v>
      </c>
    </row>
    <row r="467" spans="1:19">
      <c r="A467" s="961"/>
      <c r="B467" s="136"/>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0</v>
      </c>
      <c r="R467" s="487">
        <f t="shared" si="82"/>
        <v>0</v>
      </c>
      <c r="S467" s="796">
        <f t="shared" si="83"/>
        <v>0</v>
      </c>
    </row>
    <row r="468" spans="1:19">
      <c r="A468" s="961"/>
      <c r="B468" s="136"/>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0</v>
      </c>
      <c r="R468" s="487">
        <f t="shared" si="82"/>
        <v>0</v>
      </c>
      <c r="S468" s="796">
        <f t="shared" ref="S468:S497" si="84">ROUND(R468*B468/10000,0)</f>
        <v>0</v>
      </c>
    </row>
    <row r="469" spans="1:19">
      <c r="A469" s="961"/>
      <c r="B469" s="136"/>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0</v>
      </c>
      <c r="R469" s="487">
        <f t="shared" si="82"/>
        <v>0</v>
      </c>
      <c r="S469" s="796">
        <f t="shared" si="84"/>
        <v>0</v>
      </c>
    </row>
    <row r="470" spans="1:19">
      <c r="A470" s="961"/>
      <c r="B470" s="136"/>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0</v>
      </c>
      <c r="R470" s="487">
        <f t="shared" si="82"/>
        <v>0</v>
      </c>
      <c r="S470" s="796">
        <f t="shared" si="84"/>
        <v>0</v>
      </c>
    </row>
    <row r="471" spans="1:19">
      <c r="A471" s="961"/>
      <c r="B471" s="136"/>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0</v>
      </c>
      <c r="R471" s="487">
        <f t="shared" si="82"/>
        <v>0</v>
      </c>
      <c r="S471" s="796">
        <f t="shared" si="84"/>
        <v>0</v>
      </c>
    </row>
    <row r="472" spans="1:19">
      <c r="A472" s="961"/>
      <c r="B472" s="136"/>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0</v>
      </c>
      <c r="R472" s="487">
        <f t="shared" si="82"/>
        <v>0</v>
      </c>
      <c r="S472" s="796">
        <f t="shared" si="84"/>
        <v>0</v>
      </c>
    </row>
    <row r="473" spans="1:19">
      <c r="A473" s="961"/>
      <c r="B473" s="136"/>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0</v>
      </c>
      <c r="R473" s="487">
        <f t="shared" si="82"/>
        <v>0</v>
      </c>
      <c r="S473" s="796">
        <f t="shared" si="84"/>
        <v>0</v>
      </c>
    </row>
    <row r="474" spans="1:19">
      <c r="A474" s="961"/>
      <c r="B474" s="136"/>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0</v>
      </c>
      <c r="R474" s="487">
        <f t="shared" ref="R474:R524" si="93">IF(B474="",0,ROUND($R$24*C474*E474*G474*I474*K474*M474*O474*Q474,0))</f>
        <v>0</v>
      </c>
      <c r="S474" s="796">
        <f t="shared" si="84"/>
        <v>0</v>
      </c>
    </row>
    <row r="475" spans="1:19">
      <c r="A475" s="961"/>
      <c r="B475" s="136"/>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0</v>
      </c>
      <c r="R475" s="487">
        <f t="shared" si="93"/>
        <v>0</v>
      </c>
      <c r="S475" s="796">
        <f t="shared" si="84"/>
        <v>0</v>
      </c>
    </row>
    <row r="476" spans="1:19">
      <c r="A476" s="961"/>
      <c r="B476" s="136"/>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0</v>
      </c>
      <c r="R476" s="487">
        <f t="shared" si="93"/>
        <v>0</v>
      </c>
      <c r="S476" s="796">
        <f t="shared" si="84"/>
        <v>0</v>
      </c>
    </row>
    <row r="477" spans="1:19">
      <c r="A477" s="961"/>
      <c r="B477" s="136"/>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0</v>
      </c>
      <c r="R477" s="487">
        <f t="shared" si="93"/>
        <v>0</v>
      </c>
      <c r="S477" s="796">
        <f t="shared" si="84"/>
        <v>0</v>
      </c>
    </row>
    <row r="478" spans="1:19">
      <c r="A478" s="961"/>
      <c r="B478" s="136"/>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0</v>
      </c>
      <c r="R478" s="487">
        <f t="shared" si="93"/>
        <v>0</v>
      </c>
      <c r="S478" s="796">
        <f t="shared" si="84"/>
        <v>0</v>
      </c>
    </row>
    <row r="479" spans="1:19">
      <c r="A479" s="961"/>
      <c r="B479" s="136"/>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0</v>
      </c>
      <c r="R479" s="487">
        <f t="shared" si="93"/>
        <v>0</v>
      </c>
      <c r="S479" s="796">
        <f t="shared" si="84"/>
        <v>0</v>
      </c>
    </row>
    <row r="480" spans="1:19">
      <c r="A480" s="961"/>
      <c r="B480" s="136"/>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0</v>
      </c>
      <c r="R480" s="487">
        <f t="shared" si="93"/>
        <v>0</v>
      </c>
      <c r="S480" s="796">
        <f t="shared" si="84"/>
        <v>0</v>
      </c>
    </row>
    <row r="481" spans="1:19">
      <c r="A481" s="961"/>
      <c r="B481" s="136"/>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0</v>
      </c>
      <c r="R481" s="487">
        <f t="shared" si="93"/>
        <v>0</v>
      </c>
      <c r="S481" s="796">
        <f t="shared" si="84"/>
        <v>0</v>
      </c>
    </row>
    <row r="482" spans="1:19">
      <c r="A482" s="961"/>
      <c r="B482" s="136"/>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0</v>
      </c>
      <c r="R482" s="487">
        <f t="shared" si="93"/>
        <v>0</v>
      </c>
      <c r="S482" s="796">
        <f t="shared" si="84"/>
        <v>0</v>
      </c>
    </row>
    <row r="483" spans="1:19">
      <c r="A483" s="961"/>
      <c r="B483" s="136"/>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0</v>
      </c>
      <c r="R483" s="487">
        <f t="shared" si="93"/>
        <v>0</v>
      </c>
      <c r="S483" s="796">
        <f t="shared" si="84"/>
        <v>0</v>
      </c>
    </row>
    <row r="484" spans="1:19">
      <c r="A484" s="961"/>
      <c r="B484" s="136"/>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0</v>
      </c>
      <c r="R484" s="487">
        <f t="shared" si="93"/>
        <v>0</v>
      </c>
      <c r="S484" s="796">
        <f t="shared" si="84"/>
        <v>0</v>
      </c>
    </row>
    <row r="485" spans="1:19">
      <c r="A485" s="961"/>
      <c r="B485" s="136"/>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0</v>
      </c>
      <c r="R485" s="487">
        <f t="shared" si="93"/>
        <v>0</v>
      </c>
      <c r="S485" s="796">
        <f t="shared" si="84"/>
        <v>0</v>
      </c>
    </row>
    <row r="486" spans="1:19">
      <c r="A486" s="961"/>
      <c r="B486" s="136"/>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0</v>
      </c>
      <c r="R486" s="487">
        <f t="shared" si="93"/>
        <v>0</v>
      </c>
      <c r="S486" s="796">
        <f t="shared" si="84"/>
        <v>0</v>
      </c>
    </row>
    <row r="487" spans="1:19">
      <c r="A487" s="961"/>
      <c r="B487" s="136"/>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0</v>
      </c>
      <c r="R487" s="487">
        <f t="shared" si="93"/>
        <v>0</v>
      </c>
      <c r="S487" s="796">
        <f t="shared" si="84"/>
        <v>0</v>
      </c>
    </row>
    <row r="488" spans="1:19">
      <c r="A488" s="961"/>
      <c r="B488" s="136"/>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0</v>
      </c>
      <c r="R488" s="487">
        <f t="shared" si="93"/>
        <v>0</v>
      </c>
      <c r="S488" s="796">
        <f t="shared" si="84"/>
        <v>0</v>
      </c>
    </row>
    <row r="489" spans="1:19">
      <c r="A489" s="961"/>
      <c r="B489" s="136"/>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0</v>
      </c>
      <c r="R489" s="487">
        <f t="shared" si="93"/>
        <v>0</v>
      </c>
      <c r="S489" s="796">
        <f t="shared" si="84"/>
        <v>0</v>
      </c>
    </row>
    <row r="490" spans="1:19">
      <c r="A490" s="961"/>
      <c r="B490" s="136"/>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0</v>
      </c>
      <c r="R490" s="487">
        <f t="shared" si="93"/>
        <v>0</v>
      </c>
      <c r="S490" s="796">
        <f t="shared" si="84"/>
        <v>0</v>
      </c>
    </row>
    <row r="491" spans="1:19">
      <c r="A491" s="961"/>
      <c r="B491" s="136"/>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0</v>
      </c>
      <c r="R491" s="487">
        <f t="shared" si="93"/>
        <v>0</v>
      </c>
      <c r="S491" s="796">
        <f t="shared" si="84"/>
        <v>0</v>
      </c>
    </row>
    <row r="492" spans="1:19">
      <c r="A492" s="961"/>
      <c r="B492" s="136"/>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0</v>
      </c>
      <c r="R492" s="487">
        <f t="shared" si="93"/>
        <v>0</v>
      </c>
      <c r="S492" s="796">
        <f t="shared" si="84"/>
        <v>0</v>
      </c>
    </row>
    <row r="493" spans="1:19">
      <c r="A493" s="961"/>
      <c r="B493" s="136"/>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0</v>
      </c>
      <c r="R493" s="487">
        <f t="shared" si="93"/>
        <v>0</v>
      </c>
      <c r="S493" s="796">
        <f t="shared" si="84"/>
        <v>0</v>
      </c>
    </row>
    <row r="494" spans="1:19">
      <c r="A494" s="961"/>
      <c r="B494" s="136"/>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0</v>
      </c>
      <c r="R494" s="487">
        <f t="shared" si="93"/>
        <v>0</v>
      </c>
      <c r="S494" s="796">
        <f t="shared" si="84"/>
        <v>0</v>
      </c>
    </row>
    <row r="495" spans="1:19">
      <c r="A495" s="961"/>
      <c r="B495" s="136"/>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0</v>
      </c>
      <c r="R495" s="487">
        <f t="shared" si="93"/>
        <v>0</v>
      </c>
      <c r="S495" s="796">
        <f t="shared" si="84"/>
        <v>0</v>
      </c>
    </row>
    <row r="496" spans="1:19">
      <c r="A496" s="961"/>
      <c r="B496" s="136"/>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0</v>
      </c>
      <c r="R496" s="487">
        <f t="shared" si="93"/>
        <v>0</v>
      </c>
      <c r="S496" s="796">
        <f t="shared" si="84"/>
        <v>0</v>
      </c>
    </row>
    <row r="497" spans="1:19">
      <c r="A497" s="961"/>
      <c r="B497" s="136"/>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0</v>
      </c>
      <c r="R497" s="487">
        <f t="shared" si="93"/>
        <v>0</v>
      </c>
      <c r="S497" s="796">
        <f t="shared" si="84"/>
        <v>0</v>
      </c>
    </row>
    <row r="498" spans="1:19">
      <c r="A498" s="961"/>
      <c r="B498" s="136"/>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0</v>
      </c>
      <c r="R498" s="487">
        <f t="shared" si="93"/>
        <v>0</v>
      </c>
      <c r="S498" s="796">
        <f t="shared" ref="S498:S524" si="94">ROUND(R498*B498/10000,0)</f>
        <v>0</v>
      </c>
    </row>
    <row r="499" spans="1:19">
      <c r="A499" s="961"/>
      <c r="B499" s="136"/>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0</v>
      </c>
      <c r="R499" s="487">
        <f t="shared" si="93"/>
        <v>0</v>
      </c>
      <c r="S499" s="796">
        <f t="shared" si="94"/>
        <v>0</v>
      </c>
    </row>
    <row r="500" spans="1:19">
      <c r="A500" s="961"/>
      <c r="B500" s="136"/>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0</v>
      </c>
      <c r="R500" s="487">
        <f t="shared" si="93"/>
        <v>0</v>
      </c>
      <c r="S500" s="796">
        <f t="shared" si="94"/>
        <v>0</v>
      </c>
    </row>
    <row r="501" spans="1:19">
      <c r="A501" s="961"/>
      <c r="B501" s="136"/>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0</v>
      </c>
      <c r="R501" s="487">
        <f t="shared" si="93"/>
        <v>0</v>
      </c>
      <c r="S501" s="796">
        <f t="shared" si="94"/>
        <v>0</v>
      </c>
    </row>
    <row r="502" spans="1:19">
      <c r="A502" s="961"/>
      <c r="B502" s="136"/>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0</v>
      </c>
      <c r="R502" s="487">
        <f t="shared" si="93"/>
        <v>0</v>
      </c>
      <c r="S502" s="796">
        <f t="shared" si="94"/>
        <v>0</v>
      </c>
    </row>
    <row r="503" spans="1:19">
      <c r="A503" s="961"/>
      <c r="B503" s="136"/>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0</v>
      </c>
      <c r="R503" s="487">
        <f t="shared" si="93"/>
        <v>0</v>
      </c>
      <c r="S503" s="796">
        <f t="shared" si="94"/>
        <v>0</v>
      </c>
    </row>
    <row r="504" spans="1:19">
      <c r="A504" s="961"/>
      <c r="B504" s="136"/>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0</v>
      </c>
      <c r="R504" s="487">
        <f t="shared" si="93"/>
        <v>0</v>
      </c>
      <c r="S504" s="796">
        <f t="shared" si="94"/>
        <v>0</v>
      </c>
    </row>
    <row r="505" spans="1:19">
      <c r="A505" s="961"/>
      <c r="B505" s="136"/>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0</v>
      </c>
      <c r="R505" s="487">
        <f t="shared" si="93"/>
        <v>0</v>
      </c>
      <c r="S505" s="796">
        <f t="shared" si="94"/>
        <v>0</v>
      </c>
    </row>
    <row r="506" spans="1:19">
      <c r="A506" s="961"/>
      <c r="B506" s="136"/>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0</v>
      </c>
      <c r="R506" s="487">
        <f t="shared" si="93"/>
        <v>0</v>
      </c>
      <c r="S506" s="796">
        <f t="shared" si="94"/>
        <v>0</v>
      </c>
    </row>
    <row r="507" spans="1:19">
      <c r="A507" s="961"/>
      <c r="B507" s="136"/>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0</v>
      </c>
      <c r="R507" s="487">
        <f t="shared" si="93"/>
        <v>0</v>
      </c>
      <c r="S507" s="796">
        <f t="shared" si="94"/>
        <v>0</v>
      </c>
    </row>
    <row r="508" spans="1:19">
      <c r="A508" s="961"/>
      <c r="B508" s="136"/>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0</v>
      </c>
      <c r="R508" s="487">
        <f t="shared" si="93"/>
        <v>0</v>
      </c>
      <c r="S508" s="796">
        <f t="shared" si="94"/>
        <v>0</v>
      </c>
    </row>
    <row r="509" spans="1:19">
      <c r="A509" s="961"/>
      <c r="B509" s="136"/>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0</v>
      </c>
      <c r="R509" s="487">
        <f t="shared" si="93"/>
        <v>0</v>
      </c>
      <c r="S509" s="796">
        <f t="shared" si="94"/>
        <v>0</v>
      </c>
    </row>
    <row r="510" spans="1:19">
      <c r="A510" s="961"/>
      <c r="B510" s="136"/>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0</v>
      </c>
      <c r="R510" s="487">
        <f t="shared" si="93"/>
        <v>0</v>
      </c>
      <c r="S510" s="796">
        <f t="shared" si="94"/>
        <v>0</v>
      </c>
    </row>
    <row r="511" spans="1:19">
      <c r="A511" s="961"/>
      <c r="B511" s="136"/>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0</v>
      </c>
      <c r="R511" s="487">
        <f t="shared" si="93"/>
        <v>0</v>
      </c>
      <c r="S511" s="796">
        <f t="shared" si="94"/>
        <v>0</v>
      </c>
    </row>
    <row r="512" spans="1:19">
      <c r="A512" s="961"/>
      <c r="B512" s="136"/>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0</v>
      </c>
      <c r="R512" s="487">
        <f t="shared" si="93"/>
        <v>0</v>
      </c>
      <c r="S512" s="796">
        <f t="shared" si="94"/>
        <v>0</v>
      </c>
    </row>
    <row r="513" spans="1:19">
      <c r="A513" s="961"/>
      <c r="B513" s="136"/>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0</v>
      </c>
      <c r="R513" s="487">
        <f t="shared" si="93"/>
        <v>0</v>
      </c>
      <c r="S513" s="796">
        <f t="shared" si="94"/>
        <v>0</v>
      </c>
    </row>
    <row r="514" spans="1:19">
      <c r="A514" s="961"/>
      <c r="B514" s="136"/>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0</v>
      </c>
      <c r="R514" s="487">
        <f t="shared" si="93"/>
        <v>0</v>
      </c>
      <c r="S514" s="796">
        <f t="shared" si="94"/>
        <v>0</v>
      </c>
    </row>
    <row r="515" spans="1:19">
      <c r="A515" s="961"/>
      <c r="B515" s="136"/>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0</v>
      </c>
      <c r="R515" s="487">
        <f t="shared" si="93"/>
        <v>0</v>
      </c>
      <c r="S515" s="796">
        <f t="shared" si="94"/>
        <v>0</v>
      </c>
    </row>
    <row r="516" spans="1:19">
      <c r="A516" s="961"/>
      <c r="B516" s="136"/>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0</v>
      </c>
      <c r="R516" s="487">
        <f t="shared" si="93"/>
        <v>0</v>
      </c>
      <c r="S516" s="796">
        <f t="shared" si="94"/>
        <v>0</v>
      </c>
    </row>
    <row r="517" spans="1:19">
      <c r="A517" s="961"/>
      <c r="B517" s="136"/>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0</v>
      </c>
      <c r="R517" s="487">
        <f t="shared" si="93"/>
        <v>0</v>
      </c>
      <c r="S517" s="796">
        <f t="shared" si="94"/>
        <v>0</v>
      </c>
    </row>
    <row r="518" spans="1:19">
      <c r="A518" s="961"/>
      <c r="B518" s="136"/>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0</v>
      </c>
      <c r="R518" s="487">
        <f t="shared" si="93"/>
        <v>0</v>
      </c>
      <c r="S518" s="796">
        <f t="shared" si="94"/>
        <v>0</v>
      </c>
    </row>
    <row r="519" spans="1:19">
      <c r="A519" s="961"/>
      <c r="B519" s="136"/>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0</v>
      </c>
      <c r="R519" s="487">
        <f t="shared" si="93"/>
        <v>0</v>
      </c>
      <c r="S519" s="796">
        <f t="shared" si="94"/>
        <v>0</v>
      </c>
    </row>
    <row r="520" spans="1:19">
      <c r="A520" s="961"/>
      <c r="B520" s="136"/>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0</v>
      </c>
      <c r="R520" s="487">
        <f t="shared" si="93"/>
        <v>0</v>
      </c>
      <c r="S520" s="796">
        <f t="shared" si="94"/>
        <v>0</v>
      </c>
    </row>
    <row r="521" spans="1:19">
      <c r="A521" s="961"/>
      <c r="B521" s="136"/>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0</v>
      </c>
      <c r="R521" s="487">
        <f t="shared" si="93"/>
        <v>0</v>
      </c>
      <c r="S521" s="796">
        <f t="shared" si="94"/>
        <v>0</v>
      </c>
    </row>
    <row r="522" spans="1:19">
      <c r="A522" s="961"/>
      <c r="B522" s="136"/>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0</v>
      </c>
      <c r="R522" s="487">
        <f t="shared" si="93"/>
        <v>0</v>
      </c>
      <c r="S522" s="796">
        <f t="shared" si="94"/>
        <v>0</v>
      </c>
    </row>
    <row r="523" spans="1:19">
      <c r="A523" s="961"/>
      <c r="B523" s="136"/>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0</v>
      </c>
      <c r="R523" s="487">
        <f t="shared" si="93"/>
        <v>0</v>
      </c>
      <c r="S523" s="796">
        <f t="shared" si="94"/>
        <v>0</v>
      </c>
    </row>
    <row r="524" spans="1:19">
      <c r="A524" s="961"/>
      <c r="B524" s="136"/>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0</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6" sqref="E26"/>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1725</v>
      </c>
      <c r="B1" s="735"/>
      <c r="C1" s="770" t="s">
        <v>35</v>
      </c>
      <c r="D1" s="3143" t="s">
        <v>4275</v>
      </c>
      <c r="E1" s="2403" t="s">
        <v>2375</v>
      </c>
      <c r="F1" s="2404">
        <f ca="1">J53</f>
        <v>46.26</v>
      </c>
      <c r="G1" s="771">
        <f>MATCH(C1,'数据-取费表'!A6:A16,0)+5</f>
        <v>11</v>
      </c>
      <c r="H1" s="2044"/>
      <c r="I1" s="2045"/>
      <c r="J1" s="2045"/>
      <c r="K1" s="2046"/>
      <c r="L1" s="2045"/>
      <c r="M1" s="2045"/>
      <c r="N1" s="2047"/>
      <c r="O1" s="2047"/>
      <c r="P1" s="2047"/>
      <c r="Q1" s="2408"/>
      <c r="R1" s="2047"/>
      <c r="S1" s="2047"/>
      <c r="T1" s="2047"/>
      <c r="U1" s="2047"/>
      <c r="V1" s="2047"/>
      <c r="W1" s="2047"/>
      <c r="X1" s="2047"/>
      <c r="Y1" s="2047"/>
      <c r="Z1" s="2047"/>
      <c r="AA1" s="2047"/>
      <c r="AB1" s="2047"/>
      <c r="AC1" s="2047"/>
      <c r="AD1" s="2047"/>
      <c r="AE1" s="2047"/>
      <c r="AF1" s="2047"/>
      <c r="AG1" s="2047"/>
    </row>
    <row r="2" spans="1:33" ht="18" customHeight="1">
      <c r="A2" s="420" t="s">
        <v>1726</v>
      </c>
      <c r="B2" s="772">
        <f ca="1">C40+J29+L46</f>
        <v>48574</v>
      </c>
      <c r="C2" s="2051"/>
      <c r="D2" s="2049"/>
      <c r="E2" s="2050"/>
      <c r="F2" s="2050"/>
      <c r="G2" s="1584"/>
      <c r="H2" s="2051"/>
      <c r="I2" s="2051"/>
      <c r="J2" s="2051"/>
      <c r="K2" s="2052"/>
      <c r="L2" s="2051"/>
      <c r="M2" s="2051"/>
    </row>
    <row r="3" spans="1:33" ht="18" customHeight="1" thickBot="1">
      <c r="A3" s="830" t="s">
        <v>1727</v>
      </c>
      <c r="B3" s="831">
        <f ca="1">IF(ISERROR(B2*10000/F43),0,ROUND(B2*10000/F43,0))</f>
        <v>6784</v>
      </c>
      <c r="C3" s="2051"/>
      <c r="D3" s="2049"/>
      <c r="E3" s="2050"/>
      <c r="F3" s="2050"/>
      <c r="G3" s="1584"/>
      <c r="H3" s="773" t="s">
        <v>695</v>
      </c>
      <c r="I3" s="1358"/>
      <c r="J3" s="1358"/>
      <c r="K3" s="1585"/>
      <c r="L3" s="1358"/>
      <c r="M3" s="1358"/>
    </row>
    <row r="4" spans="1:33" ht="18" customHeight="1">
      <c r="A4" s="774" t="s">
        <v>1728</v>
      </c>
      <c r="B4" s="775" t="s">
        <v>1729</v>
      </c>
      <c r="C4" s="775" t="s">
        <v>1730</v>
      </c>
      <c r="D4" s="775" t="s">
        <v>633</v>
      </c>
      <c r="E4" s="776" t="s">
        <v>1731</v>
      </c>
      <c r="F4" s="777"/>
      <c r="G4" s="1586"/>
      <c r="H4" s="774" t="s">
        <v>1732</v>
      </c>
      <c r="I4" s="775" t="s">
        <v>1733</v>
      </c>
      <c r="J4" s="775" t="s">
        <v>1734</v>
      </c>
      <c r="K4" s="775" t="s">
        <v>1735</v>
      </c>
      <c r="L4" s="776" t="s">
        <v>1736</v>
      </c>
      <c r="M4" s="777"/>
    </row>
    <row r="5" spans="1:33" ht="18" customHeight="1">
      <c r="A5" s="778">
        <v>1</v>
      </c>
      <c r="B5" s="779" t="s">
        <v>2459</v>
      </c>
      <c r="C5" s="55">
        <f ca="1">C6+C10+C12</f>
        <v>2117</v>
      </c>
      <c r="D5" s="2512" t="s">
        <v>2462</v>
      </c>
      <c r="E5" s="2506"/>
      <c r="F5" s="2507"/>
      <c r="G5" s="1586"/>
      <c r="H5" s="778">
        <v>1</v>
      </c>
      <c r="I5" s="779" t="s">
        <v>2459</v>
      </c>
      <c r="J5" s="55">
        <f ca="1">J6+J10+J12</f>
        <v>0</v>
      </c>
      <c r="K5" s="2512" t="s">
        <v>2462</v>
      </c>
      <c r="L5" s="2506"/>
      <c r="M5" s="2507"/>
    </row>
    <row r="6" spans="1:33" ht="18" customHeight="1">
      <c r="A6" s="1824" t="s">
        <v>1824</v>
      </c>
      <c r="B6" s="3548" t="s">
        <v>2464</v>
      </c>
      <c r="C6" s="780">
        <f ca="1">ROUND(F6*F8*F7*(1-F9)/10000,0)</f>
        <v>2117</v>
      </c>
      <c r="D6" s="2513" t="s">
        <v>2463</v>
      </c>
      <c r="E6" s="781" t="s">
        <v>1738</v>
      </c>
      <c r="F6" s="782">
        <f ca="1">INDIRECT("'数据-取费表'!u"&amp;$G$1)</f>
        <v>0.9</v>
      </c>
      <c r="G6" s="1586"/>
      <c r="H6" s="2520" t="s">
        <v>2469</v>
      </c>
      <c r="I6" s="3548" t="s">
        <v>2464</v>
      </c>
      <c r="J6" s="780">
        <f ca="1">ROUND(M6*M8*M7*(1-M9)/10000,0)</f>
        <v>0</v>
      </c>
      <c r="K6" s="338" t="s">
        <v>1737</v>
      </c>
      <c r="L6" s="781" t="s">
        <v>1738</v>
      </c>
      <c r="M6" s="782">
        <f ca="1">INDIRECT("'数据-取费表'!z"&amp;$G$1)</f>
        <v>0</v>
      </c>
    </row>
    <row r="7" spans="1:33" ht="18" customHeight="1">
      <c r="A7" s="2516"/>
      <c r="B7" s="3549"/>
      <c r="C7" s="785"/>
      <c r="D7" s="786"/>
      <c r="E7" s="781" t="s">
        <v>1739</v>
      </c>
      <c r="F7" s="782">
        <f ca="1">IF(INDIRECT("'数据-取费表'!ah"&amp;$G$1)="",INDIRECT("'数据-取费表'!k"&amp;$G$1),INDIRECT("'数据-取费表'!ah"&amp;$G$1))</f>
        <v>71600</v>
      </c>
      <c r="G7" s="1586"/>
      <c r="H7" s="2505"/>
      <c r="I7" s="3549"/>
      <c r="J7" s="785"/>
      <c r="K7" s="786"/>
      <c r="L7" s="781" t="s">
        <v>1739</v>
      </c>
      <c r="M7" s="782">
        <f ca="1">F7</f>
        <v>71600</v>
      </c>
    </row>
    <row r="8" spans="1:33" ht="18" customHeight="1">
      <c r="A8" s="2509"/>
      <c r="B8" s="3550"/>
      <c r="C8" s="785"/>
      <c r="D8" s="786"/>
      <c r="E8" s="781" t="s">
        <v>1740</v>
      </c>
      <c r="F8" s="782">
        <f ca="1">INDIRECT("'数据-取费表'!ai"&amp;$G$1)</f>
        <v>365</v>
      </c>
      <c r="G8" s="1586"/>
      <c r="H8" s="2505"/>
      <c r="I8" s="3550"/>
      <c r="J8" s="785"/>
      <c r="K8" s="786"/>
      <c r="L8" s="781" t="s">
        <v>1740</v>
      </c>
      <c r="M8" s="782">
        <f ca="1">INDIRECT("'数据-取费表'!ai"&amp;$G$1)</f>
        <v>365</v>
      </c>
    </row>
    <row r="9" spans="1:33" ht="18" customHeight="1">
      <c r="A9" s="783"/>
      <c r="B9" s="3551"/>
      <c r="C9" s="785"/>
      <c r="D9" s="786"/>
      <c r="E9" s="781" t="s">
        <v>1741</v>
      </c>
      <c r="F9" s="791">
        <f ca="1">INDIRECT("'数据-取费表'!w"&amp;$G$1)</f>
        <v>0.1</v>
      </c>
      <c r="G9" s="1586"/>
      <c r="H9" s="2521"/>
      <c r="I9" s="3550"/>
      <c r="J9" s="785"/>
      <c r="K9" s="786"/>
      <c r="L9" s="792" t="s">
        <v>1741</v>
      </c>
      <c r="M9" s="793">
        <f ca="1">INDIRECT("'数据-取费表'!ab"&amp;$G$1)</f>
        <v>0</v>
      </c>
    </row>
    <row r="10" spans="1:33" ht="18" customHeight="1">
      <c r="A10" s="1824" t="s">
        <v>2467</v>
      </c>
      <c r="B10" s="2510" t="s">
        <v>2460</v>
      </c>
      <c r="C10" s="796">
        <f ca="1">ROUND(IF(F10="押一",C6/12*F11,IF(F10="押二",C6/12*2*F11,IF(F10="押三",C6/12*3*F11,C11*F11))),0)</f>
        <v>0</v>
      </c>
      <c r="D10" s="2517" t="s">
        <v>2971</v>
      </c>
      <c r="E10" s="2514" t="s">
        <v>2465</v>
      </c>
      <c r="F10" s="2637" t="s">
        <v>4276</v>
      </c>
      <c r="G10" s="1586"/>
      <c r="H10" s="2577" t="s">
        <v>2470</v>
      </c>
      <c r="I10" s="2582" t="s">
        <v>2460</v>
      </c>
      <c r="J10" s="780">
        <f ca="1">ROUND(IF(M10="押一",J6/12*M11,IF(M10="押二",J6/12*2*M11,IF(M10="押三",J6/12*3*M11,J11*M11))),0)</f>
        <v>0</v>
      </c>
      <c r="K10" s="2517" t="s">
        <v>2971</v>
      </c>
      <c r="L10" s="2514" t="s">
        <v>2465</v>
      </c>
      <c r="M10" s="2637"/>
    </row>
    <row r="11" spans="1:33" ht="18" customHeight="1">
      <c r="A11" s="787"/>
      <c r="B11" s="2511" t="s">
        <v>2574</v>
      </c>
      <c r="C11" s="2515"/>
      <c r="D11" s="786"/>
      <c r="E11" s="2514" t="s">
        <v>2466</v>
      </c>
      <c r="F11" s="793">
        <f ca="1">'数据-取费表'!B39</f>
        <v>1.4999999999999999E-2</v>
      </c>
      <c r="G11" s="1586"/>
      <c r="H11" s="2578"/>
      <c r="I11" s="2511" t="s">
        <v>2574</v>
      </c>
      <c r="J11" s="2515"/>
      <c r="K11" s="2579"/>
      <c r="L11" s="2514" t="s">
        <v>2466</v>
      </c>
      <c r="M11" s="2508">
        <f ca="1">'数据-取费表'!B39</f>
        <v>1.4999999999999999E-2</v>
      </c>
    </row>
    <row r="12" spans="1:33" ht="18" customHeight="1" thickBot="1">
      <c r="A12" s="2553" t="s">
        <v>2468</v>
      </c>
      <c r="B12" s="2554" t="s">
        <v>2461</v>
      </c>
      <c r="C12" s="2555"/>
      <c r="D12" s="2556"/>
      <c r="E12" s="2557"/>
      <c r="F12" s="2558"/>
      <c r="G12" s="1586"/>
      <c r="H12" s="2567" t="s">
        <v>2471</v>
      </c>
      <c r="I12" s="2580" t="s">
        <v>2461</v>
      </c>
      <c r="J12" s="2581"/>
      <c r="K12" s="2556"/>
      <c r="L12" s="2557"/>
      <c r="M12" s="2570"/>
    </row>
    <row r="13" spans="1:33" ht="18" customHeight="1" thickTop="1">
      <c r="A13" s="1823">
        <v>2</v>
      </c>
      <c r="B13" s="1821" t="s">
        <v>1742</v>
      </c>
      <c r="C13" s="789">
        <f ca="1">ROUND(C29*F13,0)</f>
        <v>17759</v>
      </c>
      <c r="D13" s="1828" t="s">
        <v>2297</v>
      </c>
      <c r="E13" s="1828" t="s">
        <v>1744</v>
      </c>
      <c r="F13" s="2552">
        <f ca="1">INDIRECT("'数据-取费表'!y"&amp;$G$1)</f>
        <v>1</v>
      </c>
      <c r="G13" s="1586"/>
      <c r="H13" s="1823">
        <v>2</v>
      </c>
      <c r="I13" s="1821" t="s">
        <v>1742</v>
      </c>
      <c r="J13" s="1813">
        <f ca="1">ROUND(J14*J15,0)</f>
        <v>0</v>
      </c>
      <c r="K13" s="1815" t="s">
        <v>1743</v>
      </c>
      <c r="L13" s="2568"/>
      <c r="M13" s="2569"/>
    </row>
    <row r="14" spans="1:33" ht="18" customHeight="1">
      <c r="A14" s="1642" t="s">
        <v>1884</v>
      </c>
      <c r="B14" s="781" t="s">
        <v>645</v>
      </c>
      <c r="C14" s="801">
        <f ca="1">INDIRECT("'数据-取费表'!m"&amp;$G$1)+INDIRECT("'数据-取费表'!t"&amp;$G$1)</f>
        <v>12994</v>
      </c>
      <c r="D14" s="1973" t="s">
        <v>1745</v>
      </c>
      <c r="E14" s="1974"/>
      <c r="F14" s="802"/>
      <c r="G14" s="1586"/>
      <c r="H14" s="1643" t="s">
        <v>1830</v>
      </c>
      <c r="I14" s="2225" t="s">
        <v>2827</v>
      </c>
      <c r="J14" s="53">
        <f ca="1">C29</f>
        <v>17759</v>
      </c>
      <c r="K14" s="26"/>
      <c r="L14" s="798"/>
      <c r="M14" s="799"/>
    </row>
    <row r="15" spans="1:33" s="2058" customFormat="1" ht="18" customHeight="1" thickBot="1">
      <c r="A15" s="1642" t="s">
        <v>1885</v>
      </c>
      <c r="B15" s="781" t="s">
        <v>647</v>
      </c>
      <c r="C15" s="53">
        <f ca="1">ROUND(C14*F15,0)</f>
        <v>390</v>
      </c>
      <c r="D15" s="803" t="s">
        <v>1746</v>
      </c>
      <c r="E15" s="803" t="s">
        <v>1747</v>
      </c>
      <c r="F15" s="804">
        <f>'数据-取费表'!B33</f>
        <v>0.03</v>
      </c>
      <c r="G15" s="1587"/>
      <c r="H15" s="2567" t="s">
        <v>1889</v>
      </c>
      <c r="I15" s="2562" t="s">
        <v>1744</v>
      </c>
      <c r="J15" s="2571">
        <f ca="1">INDIRECT("'数据-取费表'!ad"&amp;$G$1)</f>
        <v>0</v>
      </c>
      <c r="K15" s="2572"/>
      <c r="L15" s="2573"/>
      <c r="M15" s="2574"/>
      <c r="N15" s="2057"/>
      <c r="O15" s="2057"/>
      <c r="P15" s="2057"/>
      <c r="Q15" s="2409"/>
      <c r="R15" s="2057"/>
      <c r="S15" s="2057"/>
      <c r="T15" s="2057"/>
      <c r="U15" s="2057"/>
      <c r="V15" s="2057"/>
      <c r="W15" s="2057"/>
      <c r="X15" s="2057"/>
      <c r="Y15" s="2057"/>
      <c r="Z15" s="2057"/>
      <c r="AA15" s="2057"/>
      <c r="AB15" s="2057"/>
      <c r="AC15" s="2057"/>
      <c r="AD15" s="2057"/>
      <c r="AE15" s="2057"/>
      <c r="AF15" s="2057"/>
      <c r="AG15" s="2057"/>
    </row>
    <row r="16" spans="1:33" ht="18" customHeight="1" thickTop="1">
      <c r="A16" s="1642" t="s">
        <v>1886</v>
      </c>
      <c r="B16" s="781" t="s">
        <v>650</v>
      </c>
      <c r="C16" s="53">
        <f ca="1">ROUND(INDIRECT("'数据-取费表'!m"&amp;$G$1)*F16,0)</f>
        <v>0</v>
      </c>
      <c r="D16" s="781" t="s">
        <v>1746</v>
      </c>
      <c r="E16" s="781" t="s">
        <v>1747</v>
      </c>
      <c r="F16" s="806">
        <f ca="1">IF(INDIRECT("'数据-取费表'!c"&amp;$G$1)="住宅",'数据-取费表'!B34,0)</f>
        <v>0</v>
      </c>
      <c r="G16" s="1586"/>
      <c r="H16" s="1823" t="s">
        <v>1748</v>
      </c>
      <c r="I16" s="1821" t="s">
        <v>1749</v>
      </c>
      <c r="J16" s="789">
        <f ca="1">ROUND(J17+J22+J23+J24,0)</f>
        <v>461</v>
      </c>
      <c r="K16" s="1815" t="s">
        <v>1750</v>
      </c>
      <c r="L16" s="2502"/>
      <c r="M16" s="2507"/>
    </row>
    <row r="17" spans="1:33" s="2058" customFormat="1" ht="18" customHeight="1">
      <c r="A17" s="1642" t="s">
        <v>1887</v>
      </c>
      <c r="B17" s="781" t="s">
        <v>653</v>
      </c>
      <c r="C17" s="53">
        <f ca="1">ROUND(F17*(F43+INDIRECT("'数据-取费表'!S"&amp;$G$1))/10000,0)</f>
        <v>1083</v>
      </c>
      <c r="D17" s="781" t="s">
        <v>1751</v>
      </c>
      <c r="E17" s="781" t="s">
        <v>1752</v>
      </c>
      <c r="F17" s="56">
        <f>'数据-取费表'!B35</f>
        <v>150</v>
      </c>
      <c r="G17" s="1587"/>
      <c r="H17" s="1643" t="s">
        <v>1830</v>
      </c>
      <c r="I17" s="781" t="s">
        <v>656</v>
      </c>
      <c r="J17" s="53">
        <f ca="1">ROUND(IF(项目基本情况!B11="自然人",J5*M17,J18+J19+J20),0)</f>
        <v>195</v>
      </c>
      <c r="K17" s="2501" t="s">
        <v>1753</v>
      </c>
      <c r="L17" s="2500" t="s">
        <v>1754</v>
      </c>
      <c r="M17" s="807" t="str">
        <f ca="1">IF(项目基本情况!B11="企业","",IF(INDIRECT("'数据-取费表'!c"&amp;$G$1)="住宅",5%,IF(M6*M7*M8/12/(1+'数据-取费表'!C42)&gt;20000,12%,7%)))</f>
        <v/>
      </c>
      <c r="N17" s="2057"/>
      <c r="O17" s="2057"/>
      <c r="P17" s="2057"/>
      <c r="Q17" s="2409"/>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2" t="s">
        <v>1888</v>
      </c>
      <c r="B18" s="781" t="s">
        <v>659</v>
      </c>
      <c r="C18" s="53">
        <f ca="1">ROUND(C14*F18,0)</f>
        <v>195</v>
      </c>
      <c r="D18" s="781" t="s">
        <v>1746</v>
      </c>
      <c r="E18" s="781" t="s">
        <v>1747</v>
      </c>
      <c r="F18" s="806">
        <f>'数据-取费表'!B36</f>
        <v>1.4999999999999999E-2</v>
      </c>
      <c r="G18" s="1587"/>
      <c r="H18" s="1642" t="s">
        <v>1884</v>
      </c>
      <c r="I18" s="781" t="s">
        <v>1755</v>
      </c>
      <c r="J18" s="53">
        <f ca="1">ROUND(J5*M18/1.05,1)</f>
        <v>0</v>
      </c>
      <c r="K18" s="2500" t="s">
        <v>1756</v>
      </c>
      <c r="L18" s="781" t="s">
        <v>1747</v>
      </c>
      <c r="M18" s="806">
        <f>'数据-取费表'!B41</f>
        <v>5.6500000000000002E-2</v>
      </c>
      <c r="N18" s="2057"/>
      <c r="O18" s="2057"/>
      <c r="P18" s="2057"/>
      <c r="Q18" s="2409"/>
      <c r="R18" s="2057"/>
      <c r="S18" s="2057"/>
      <c r="T18" s="2057"/>
      <c r="U18" s="2057"/>
      <c r="V18" s="2057"/>
      <c r="W18" s="2057"/>
      <c r="X18" s="2057"/>
      <c r="Y18" s="2057"/>
      <c r="Z18" s="2057"/>
      <c r="AA18" s="2057"/>
      <c r="AB18" s="2057"/>
      <c r="AC18" s="2057"/>
      <c r="AD18" s="2057"/>
      <c r="AE18" s="2057"/>
      <c r="AF18" s="2057"/>
      <c r="AG18" s="2057"/>
    </row>
    <row r="19" spans="1:33" ht="18" customHeight="1">
      <c r="A19" s="1643" t="s">
        <v>1830</v>
      </c>
      <c r="B19" s="781" t="s">
        <v>662</v>
      </c>
      <c r="C19" s="53">
        <f ca="1">SUM(C14:C18)</f>
        <v>14662</v>
      </c>
      <c r="D19" s="258" t="s">
        <v>1757</v>
      </c>
      <c r="E19" s="1976"/>
      <c r="F19" s="56"/>
      <c r="G19" s="1586"/>
      <c r="H19" s="1642" t="s">
        <v>1885</v>
      </c>
      <c r="I19" s="781" t="s">
        <v>1758</v>
      </c>
      <c r="J19" s="53">
        <f ca="1">IF(K19="按租金收入计税",ROUND(J5*M19,1),ROUND(C29*F33*0.7,1))</f>
        <v>149.19999999999999</v>
      </c>
      <c r="K19" s="808" t="s">
        <v>665</v>
      </c>
      <c r="L19" s="781" t="s">
        <v>1747</v>
      </c>
      <c r="M19" s="806">
        <f>IF(K19="按租金收入计税",'数据-取费表'!B51,'数据-取费表'!B50)</f>
        <v>1.2E-2</v>
      </c>
    </row>
    <row r="20" spans="1:33" s="2058" customFormat="1" ht="18" customHeight="1">
      <c r="A20" s="1643" t="s">
        <v>1889</v>
      </c>
      <c r="B20" s="781" t="s">
        <v>666</v>
      </c>
      <c r="C20" s="53">
        <f ca="1">ROUND(C19*F20,0)</f>
        <v>293</v>
      </c>
      <c r="D20" s="809" t="s">
        <v>1759</v>
      </c>
      <c r="E20" s="781" t="s">
        <v>1747</v>
      </c>
      <c r="F20" s="806">
        <f>'数据-取费表'!B37</f>
        <v>0.02</v>
      </c>
      <c r="G20" s="1587"/>
      <c r="H20" s="1645" t="s">
        <v>1880</v>
      </c>
      <c r="I20" s="338" t="s">
        <v>1760</v>
      </c>
      <c r="J20" s="54">
        <f ca="1">ROUND(M20*M21/10000,0)</f>
        <v>46</v>
      </c>
      <c r="K20" s="811" t="s">
        <v>1761</v>
      </c>
      <c r="L20" s="781" t="s">
        <v>1762</v>
      </c>
      <c r="M20" s="637">
        <f>'数据-取费表'!B52</f>
        <v>15</v>
      </c>
      <c r="N20" s="2057"/>
      <c r="O20" s="2057"/>
      <c r="P20" s="2057"/>
      <c r="Q20" s="2409"/>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3" t="s">
        <v>1890</v>
      </c>
      <c r="B21" s="781" t="s">
        <v>1763</v>
      </c>
      <c r="C21" s="53" t="s">
        <v>1764</v>
      </c>
      <c r="D21" s="809" t="s">
        <v>2298</v>
      </c>
      <c r="E21" s="781" t="s">
        <v>1765</v>
      </c>
      <c r="F21" s="806">
        <f>'数据-取费表'!B38</f>
        <v>0.02</v>
      </c>
      <c r="G21" s="1587"/>
      <c r="H21" s="2522"/>
      <c r="I21" s="790"/>
      <c r="J21" s="69"/>
      <c r="K21" s="813"/>
      <c r="L21" s="781" t="s">
        <v>1766</v>
      </c>
      <c r="M21" s="782">
        <f ca="1">INDIRECT("'数据-取费表'!r"&amp;$G$1)</f>
        <v>30366.420000000002</v>
      </c>
      <c r="N21" s="2057"/>
      <c r="O21" s="2057"/>
      <c r="P21" s="2057"/>
      <c r="Q21" s="2409"/>
      <c r="R21" s="2057"/>
      <c r="S21" s="2057"/>
      <c r="T21" s="2057"/>
      <c r="U21" s="2057"/>
      <c r="V21" s="2057"/>
      <c r="W21" s="2057"/>
      <c r="X21" s="2057"/>
      <c r="Y21" s="2057"/>
      <c r="Z21" s="2057"/>
      <c r="AA21" s="2057"/>
      <c r="AB21" s="2057"/>
      <c r="AC21" s="2057"/>
      <c r="AD21" s="2057"/>
      <c r="AE21" s="2057"/>
      <c r="AF21" s="2057"/>
      <c r="AG21" s="2057"/>
    </row>
    <row r="22" spans="1:33" ht="18" customHeight="1">
      <c r="A22" s="1643" t="s">
        <v>1891</v>
      </c>
      <c r="B22" s="781" t="s">
        <v>1767</v>
      </c>
      <c r="C22" s="53"/>
      <c r="D22" s="2588" t="str">
        <f>IF(F23&lt;=1,"单利计息。","复利计息。")&amp;"建造成本、管理费用、销售费用产生的利息。"</f>
        <v>复利计息。建造成本、管理费用、销售费用产生的利息。</v>
      </c>
      <c r="E22" s="1976"/>
      <c r="F22" s="56"/>
      <c r="G22" s="1586"/>
      <c r="H22" s="1643" t="s">
        <v>1889</v>
      </c>
      <c r="I22" s="781" t="s">
        <v>1768</v>
      </c>
      <c r="J22" s="53">
        <f ca="1">ROUND(J14*M22,0)</f>
        <v>266</v>
      </c>
      <c r="K22" s="2500" t="s">
        <v>1769</v>
      </c>
      <c r="L22" s="781" t="s">
        <v>1747</v>
      </c>
      <c r="M22" s="814">
        <f ca="1">INDIRECT("'数据-取费表'!Ak"&amp;$G$1)</f>
        <v>1.4999999999999999E-2</v>
      </c>
    </row>
    <row r="23" spans="1:33" s="2058" customFormat="1" ht="18" customHeight="1">
      <c r="A23" s="1642" t="s">
        <v>1831</v>
      </c>
      <c r="B23" s="781" t="s">
        <v>2536</v>
      </c>
      <c r="C23" s="53">
        <f ca="1">ROUND(IF('数据-取费表'!B22&lt;=1,(C19+C20)*F24*F23/2,(C19+C20)*(POWER((1+F24),F23/2)-1)),0)</f>
        <v>710</v>
      </c>
      <c r="D23" s="2587" t="str">
        <f>IF(F23&lt;=1,"(建造成本+管理费用)×利率×(建设周期÷2)","(建造成本+管理费用)×((1+利率)^(建设周期÷2)-1)")</f>
        <v>(建造成本+管理费用)×((1+利率)^(建设周期÷2)-1)</v>
      </c>
      <c r="E23" s="781" t="s">
        <v>1770</v>
      </c>
      <c r="F23" s="637">
        <f>'数据-取费表'!B20</f>
        <v>2</v>
      </c>
      <c r="G23" s="1587"/>
      <c r="H23" s="1643" t="s">
        <v>1890</v>
      </c>
      <c r="I23" s="781" t="s">
        <v>679</v>
      </c>
      <c r="J23" s="53">
        <f ca="1">ROUND(J13*M23,0)</f>
        <v>0</v>
      </c>
      <c r="K23" s="2500" t="s">
        <v>1771</v>
      </c>
      <c r="L23" s="781" t="s">
        <v>1747</v>
      </c>
      <c r="M23" s="815">
        <f ca="1">INDIRECT("'数据-取费表'!Al"&amp;$G$1)</f>
        <v>1.5E-3</v>
      </c>
      <c r="N23" s="2057"/>
      <c r="O23" s="2057"/>
      <c r="P23" s="2057"/>
      <c r="Q23" s="2409"/>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2" t="s">
        <v>1832</v>
      </c>
      <c r="B24" s="781" t="s">
        <v>1772</v>
      </c>
      <c r="C24" s="53">
        <f ca="1">ROUND(IF('数据-取费表'!B22&lt;=1,F21*F24*F23/2,F21*(POWER((1+F24),F23/2)-1)),4)</f>
        <v>1E-3</v>
      </c>
      <c r="D24" s="2587" t="str">
        <f>IF(F23&lt;=1,"销售费用×利率×(建设周期÷2)","销售费用×((1+利率)^(建设周期÷2)-1)")</f>
        <v>销售费用×((1+利率)^(建设周期÷2)-1)</v>
      </c>
      <c r="E24" s="781" t="s">
        <v>1773</v>
      </c>
      <c r="F24" s="816">
        <f ca="1">'数据-取费表'!B40</f>
        <v>4.7500000000000001E-2</v>
      </c>
      <c r="G24" s="1587"/>
      <c r="H24" s="2567" t="s">
        <v>1891</v>
      </c>
      <c r="I24" s="2562" t="s">
        <v>666</v>
      </c>
      <c r="J24" s="2560">
        <f ca="1">ROUND(J5*M24,0)</f>
        <v>0</v>
      </c>
      <c r="K24" s="2561" t="s">
        <v>1774</v>
      </c>
      <c r="L24" s="2562" t="s">
        <v>1747</v>
      </c>
      <c r="M24" s="2558">
        <f ca="1">INDIRECT("'数据-取费表'!Am"&amp;$G$1)</f>
        <v>0.01</v>
      </c>
      <c r="N24" s="2057"/>
      <c r="O24" s="2057"/>
      <c r="P24" s="2057"/>
      <c r="Q24" s="2409"/>
      <c r="R24" s="2057"/>
      <c r="S24" s="2057"/>
      <c r="T24" s="2057"/>
      <c r="U24" s="2057"/>
      <c r="V24" s="2057"/>
      <c r="W24" s="2057"/>
      <c r="X24" s="2057"/>
      <c r="Y24" s="2057"/>
      <c r="Z24" s="2057"/>
      <c r="AA24" s="2057"/>
      <c r="AB24" s="2057"/>
      <c r="AC24" s="2057"/>
      <c r="AD24" s="2057"/>
      <c r="AE24" s="2057"/>
      <c r="AF24" s="2057"/>
      <c r="AG24" s="2057"/>
    </row>
    <row r="25" spans="1:33" ht="18" customHeight="1" thickTop="1">
      <c r="A25" s="1644" t="s">
        <v>1840</v>
      </c>
      <c r="B25" s="781" t="s">
        <v>684</v>
      </c>
      <c r="C25" s="53"/>
      <c r="D25" s="258" t="s">
        <v>1775</v>
      </c>
      <c r="E25" s="1976"/>
      <c r="F25" s="56"/>
      <c r="G25" s="1586"/>
      <c r="H25" s="1823" t="s">
        <v>1776</v>
      </c>
      <c r="I25" s="3026" t="s">
        <v>2823</v>
      </c>
      <c r="J25" s="789">
        <f ca="1">J5-J16</f>
        <v>-461</v>
      </c>
      <c r="K25" s="2564" t="s">
        <v>1777</v>
      </c>
      <c r="L25" s="2565"/>
      <c r="M25" s="2566"/>
    </row>
    <row r="26" spans="1:33" ht="18" customHeight="1">
      <c r="A26" s="1642" t="s">
        <v>1831</v>
      </c>
      <c r="B26" s="781" t="s">
        <v>2439</v>
      </c>
      <c r="C26" s="53">
        <f ca="1">ROUND((C19+C20)*F26,0)</f>
        <v>748</v>
      </c>
      <c r="D26" s="809" t="s">
        <v>1778</v>
      </c>
      <c r="E26" s="792" t="s">
        <v>1779</v>
      </c>
      <c r="F26" s="791">
        <f ca="1">INDIRECT("'数据-取费表'!q"&amp;$G$1)</f>
        <v>0.05</v>
      </c>
      <c r="G26" s="1586"/>
      <c r="H26" s="2518" t="s">
        <v>1780</v>
      </c>
      <c r="I26" s="2226" t="s">
        <v>2828</v>
      </c>
      <c r="J26" s="780">
        <f ca="1">IF(J5&lt;&gt;0,ROUND(J25*(1-((1+M28)/(1+M26))^M27)/(M26-M28),0),0)</f>
        <v>0</v>
      </c>
      <c r="K26" s="811" t="s">
        <v>1781</v>
      </c>
      <c r="L26" s="781" t="s">
        <v>2420</v>
      </c>
      <c r="M26" s="791">
        <f ca="1">INDIRECT("'数据-取费表'!I"&amp;$G$1)</f>
        <v>4.4999999999999998E-2</v>
      </c>
    </row>
    <row r="27" spans="1:33" ht="18" customHeight="1">
      <c r="A27" s="1642" t="s">
        <v>1832</v>
      </c>
      <c r="B27" s="781" t="s">
        <v>686</v>
      </c>
      <c r="C27" s="53">
        <f ca="1">ROUND(F21*F26,4)</f>
        <v>1E-3</v>
      </c>
      <c r="D27" s="809" t="s">
        <v>1782</v>
      </c>
      <c r="E27" s="803"/>
      <c r="F27" s="804"/>
      <c r="G27" s="1586"/>
      <c r="H27" s="2519"/>
      <c r="I27" s="784"/>
      <c r="J27" s="785"/>
      <c r="K27" s="818" t="s">
        <v>1783</v>
      </c>
      <c r="L27" s="781" t="s">
        <v>1784</v>
      </c>
      <c r="M27" s="819">
        <f ca="1">INDIRECT("'数据-取费表'!ag"&amp;$G$1)</f>
        <v>0</v>
      </c>
    </row>
    <row r="28" spans="1:33" s="2058" customFormat="1" ht="18" customHeight="1">
      <c r="A28" s="1644" t="s">
        <v>1841</v>
      </c>
      <c r="B28" s="781" t="s">
        <v>687</v>
      </c>
      <c r="C28" s="53">
        <f>ROUND(F28/(1+'数据-取费表'!C42),4)</f>
        <v>5.3800000000000001E-2</v>
      </c>
      <c r="D28" s="809" t="s">
        <v>2299</v>
      </c>
      <c r="E28" s="781" t="s">
        <v>1785</v>
      </c>
      <c r="F28" s="806">
        <f>'数据-取费表'!B41</f>
        <v>5.6500000000000002E-2</v>
      </c>
      <c r="G28" s="1587"/>
      <c r="H28" s="1823"/>
      <c r="I28" s="788"/>
      <c r="J28" s="789"/>
      <c r="K28" s="813"/>
      <c r="L28" s="781" t="s">
        <v>1786</v>
      </c>
      <c r="M28" s="791">
        <f ca="1">INDIRECT("'数据-取费表'!aa"&amp;$G$1)</f>
        <v>0</v>
      </c>
      <c r="N28" s="2057"/>
      <c r="O28" s="2057"/>
      <c r="P28" s="2057"/>
      <c r="Q28" s="2409"/>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59" t="s">
        <v>1892</v>
      </c>
      <c r="B29" s="2557" t="s">
        <v>2300</v>
      </c>
      <c r="C29" s="2560">
        <f ca="1">ROUND((C19+C20+C23+C26)/(1-F21-C24-C27-C28),0)</f>
        <v>17759</v>
      </c>
      <c r="D29" s="2561"/>
      <c r="E29" s="2562"/>
      <c r="F29" s="2563"/>
      <c r="G29" s="1587"/>
      <c r="H29" s="820" t="s">
        <v>1787</v>
      </c>
      <c r="I29" s="821" t="s">
        <v>1788</v>
      </c>
      <c r="J29" s="822">
        <f ca="1">ROUND(J26/(1+F40)^F41,0)</f>
        <v>0</v>
      </c>
      <c r="K29" s="823" t="s">
        <v>1789</v>
      </c>
      <c r="L29" s="824"/>
      <c r="M29" s="825">
        <f ca="1">INDIRECT("'数据-取费表'!k"&amp;$G$1)</f>
        <v>71600</v>
      </c>
      <c r="N29" s="2057"/>
      <c r="O29" s="2057"/>
      <c r="P29" s="2057"/>
      <c r="Q29" s="2409"/>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1893</v>
      </c>
      <c r="B30" s="1821" t="s">
        <v>1790</v>
      </c>
      <c r="C30" s="789">
        <f ca="1">ROUND(C31+C36+C37+C38,0)</f>
        <v>623</v>
      </c>
      <c r="D30" s="1815" t="s">
        <v>1791</v>
      </c>
      <c r="E30" s="2502"/>
      <c r="F30" s="2507"/>
      <c r="G30" s="2056"/>
      <c r="H30" s="2059"/>
      <c r="I30" s="2060"/>
      <c r="J30" s="2061"/>
      <c r="K30" s="2062"/>
      <c r="L30" s="2063"/>
      <c r="M30" s="2064"/>
    </row>
    <row r="31" spans="1:33" ht="18" customHeight="1">
      <c r="A31" s="1643" t="s">
        <v>1830</v>
      </c>
      <c r="B31" s="781" t="s">
        <v>656</v>
      </c>
      <c r="C31" s="53">
        <f ca="1">ROUND(IF(项目基本情况!B11="自然人",C5*F31,C32+C33+C34),1)</f>
        <v>308.60000000000002</v>
      </c>
      <c r="D31" s="1973" t="s">
        <v>1792</v>
      </c>
      <c r="E31" s="1971" t="s">
        <v>1793</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2" t="s">
        <v>1831</v>
      </c>
      <c r="B32" s="781" t="s">
        <v>1794</v>
      </c>
      <c r="C32" s="53">
        <f ca="1">ROUND(C5*F32/1.05,1)</f>
        <v>113.9</v>
      </c>
      <c r="D32" s="1971" t="s">
        <v>1795</v>
      </c>
      <c r="E32" s="781" t="s">
        <v>1796</v>
      </c>
      <c r="F32" s="806">
        <f>'数据-取费表'!B41</f>
        <v>5.6500000000000002E-2</v>
      </c>
      <c r="G32" s="2056"/>
      <c r="H32" s="2065"/>
      <c r="I32" s="2066"/>
      <c r="J32" s="2067"/>
      <c r="K32" s="2068"/>
      <c r="L32" s="2069"/>
      <c r="M32" s="2070"/>
    </row>
    <row r="33" spans="1:18" ht="18" customHeight="1">
      <c r="A33" s="1642" t="s">
        <v>1832</v>
      </c>
      <c r="B33" s="781" t="s">
        <v>1797</v>
      </c>
      <c r="C33" s="53">
        <f ca="1">IF(D33="按租金收入计税",ROUND(C5*F33,1),IF(D33="按房产原值计税",ROUND(C29*F33*0.7,1),INDIRECT("'数据-取费表'!Aj"&amp;$G$1)))</f>
        <v>149.19999999999999</v>
      </c>
      <c r="D33" s="808" t="s">
        <v>1680</v>
      </c>
      <c r="E33" s="781" t="s">
        <v>1796</v>
      </c>
      <c r="F33" s="806">
        <f>IF(D33="按租金收入计税",'数据-取费表'!B51,'数据-取费表'!B50)</f>
        <v>1.2E-2</v>
      </c>
      <c r="G33" s="2056"/>
      <c r="H33" s="2071"/>
      <c r="I33" s="2071"/>
      <c r="J33" s="2071"/>
      <c r="K33" s="2072"/>
      <c r="L33" s="2071"/>
      <c r="M33" s="2071"/>
    </row>
    <row r="34" spans="1:18" ht="18" customHeight="1">
      <c r="A34" s="1645" t="s">
        <v>1833</v>
      </c>
      <c r="B34" s="338" t="s">
        <v>1798</v>
      </c>
      <c r="C34" s="54">
        <f ca="1">ROUND(F34*F35/10000,1)</f>
        <v>45.5</v>
      </c>
      <c r="D34" s="811" t="s">
        <v>1799</v>
      </c>
      <c r="E34" s="781" t="s">
        <v>1800</v>
      </c>
      <c r="F34" s="637">
        <f>'数据-取费表'!B52</f>
        <v>15</v>
      </c>
      <c r="G34" s="2056"/>
      <c r="H34" s="2059"/>
      <c r="I34" s="832" t="s">
        <v>1813</v>
      </c>
      <c r="J34" s="833"/>
      <c r="K34" s="2074"/>
      <c r="L34" s="2073"/>
      <c r="M34" s="2073"/>
    </row>
    <row r="35" spans="1:18" ht="18" customHeight="1">
      <c r="A35" s="812"/>
      <c r="B35" s="790"/>
      <c r="C35" s="69"/>
      <c r="D35" s="813"/>
      <c r="E35" s="781" t="s">
        <v>1801</v>
      </c>
      <c r="F35" s="782">
        <f ca="1">INDIRECT("'数据-取费表'!r"&amp;$G$1)</f>
        <v>30366.420000000002</v>
      </c>
      <c r="G35" s="2056"/>
      <c r="H35" s="2059"/>
      <c r="I35" s="834" t="s">
        <v>1814</v>
      </c>
      <c r="J35" s="835">
        <f ca="1">ROUND(C13*J36,0)</f>
        <v>1510</v>
      </c>
      <c r="K35" s="2072"/>
      <c r="L35" s="2071"/>
      <c r="M35" s="2071"/>
    </row>
    <row r="36" spans="1:18" ht="18" customHeight="1">
      <c r="A36" s="1643" t="s">
        <v>1889</v>
      </c>
      <c r="B36" s="781" t="s">
        <v>1802</v>
      </c>
      <c r="C36" s="53">
        <f ca="1">ROUND(C29*F36,1)</f>
        <v>266.39999999999998</v>
      </c>
      <c r="D36" s="1971" t="s">
        <v>1803</v>
      </c>
      <c r="E36" s="781" t="s">
        <v>1796</v>
      </c>
      <c r="F36" s="814">
        <f ca="1">INDIRECT("'数据-取费表'!Ak"&amp;$G$1)</f>
        <v>1.4999999999999999E-2</v>
      </c>
      <c r="G36" s="2056"/>
      <c r="H36" s="2071"/>
      <c r="I36" s="836" t="s">
        <v>1815</v>
      </c>
      <c r="J36" s="837">
        <f ca="1">INDIRECT("'数据-取费表'!j"&amp;$G$1)</f>
        <v>8.5000000000000006E-2</v>
      </c>
      <c r="K36" s="2076"/>
      <c r="L36" s="2071"/>
      <c r="M36" s="2071"/>
    </row>
    <row r="37" spans="1:18" ht="18" customHeight="1">
      <c r="A37" s="1643" t="s">
        <v>1890</v>
      </c>
      <c r="B37" s="781" t="s">
        <v>679</v>
      </c>
      <c r="C37" s="53">
        <f ca="1">ROUND(C13*F37,1)</f>
        <v>26.6</v>
      </c>
      <c r="D37" s="1971" t="s">
        <v>1804</v>
      </c>
      <c r="E37" s="781" t="s">
        <v>1796</v>
      </c>
      <c r="F37" s="815">
        <f ca="1">INDIRECT("'数据-取费表'!Al"&amp;$G$1)</f>
        <v>1.5E-3</v>
      </c>
      <c r="G37" s="2056"/>
      <c r="H37" s="2071"/>
      <c r="I37" s="838" t="s">
        <v>1816</v>
      </c>
      <c r="J37" s="839"/>
      <c r="K37" s="2076"/>
      <c r="L37" s="2071"/>
      <c r="M37" s="2071"/>
    </row>
    <row r="38" spans="1:18" ht="18" customHeight="1" thickBot="1">
      <c r="A38" s="2567" t="s">
        <v>1891</v>
      </c>
      <c r="B38" s="2562" t="s">
        <v>666</v>
      </c>
      <c r="C38" s="2560">
        <f ca="1">ROUND(C5*F38,1)</f>
        <v>21.2</v>
      </c>
      <c r="D38" s="2561" t="s">
        <v>1805</v>
      </c>
      <c r="E38" s="2562" t="s">
        <v>1796</v>
      </c>
      <c r="F38" s="2558">
        <f ca="1">INDIRECT("'数据-取费表'!Am"&amp;$G$1)</f>
        <v>0.01</v>
      </c>
      <c r="G38" s="2056"/>
      <c r="H38" s="2071"/>
      <c r="I38" s="840" t="s">
        <v>1817</v>
      </c>
      <c r="J38" s="841"/>
      <c r="K38" s="2077"/>
      <c r="L38" s="2071"/>
      <c r="M38" s="2071"/>
    </row>
    <row r="39" spans="1:18" ht="24.6" customHeight="1" thickTop="1">
      <c r="A39" s="1823" t="s">
        <v>1894</v>
      </c>
      <c r="B39" s="3026" t="s">
        <v>2823</v>
      </c>
      <c r="C39" s="789">
        <f ca="1">C5-C30</f>
        <v>1494</v>
      </c>
      <c r="D39" s="2564" t="s">
        <v>1806</v>
      </c>
      <c r="E39" s="2565"/>
      <c r="F39" s="2566"/>
      <c r="G39" s="2056"/>
      <c r="H39" s="2071"/>
      <c r="I39" s="834" t="s">
        <v>1818</v>
      </c>
      <c r="J39" s="842">
        <f ca="1">ROUND(J35/C39,3)</f>
        <v>1.0109999999999999</v>
      </c>
      <c r="K39" s="2077"/>
      <c r="L39" s="2071"/>
      <c r="M39" s="2071"/>
    </row>
    <row r="40" spans="1:18" ht="18" customHeight="1">
      <c r="A40" s="778" t="s">
        <v>1895</v>
      </c>
      <c r="B40" s="2226" t="s">
        <v>2301</v>
      </c>
      <c r="C40" s="780">
        <f ca="1">ROUND(C39*(1-((1+F42)/(1+F40))^F41)/(F40-F42),0)</f>
        <v>48574</v>
      </c>
      <c r="D40" s="811" t="s">
        <v>1807</v>
      </c>
      <c r="E40" s="781" t="s">
        <v>2420</v>
      </c>
      <c r="F40" s="791">
        <f ca="1">INDIRECT("'数据-取费表'!I"&amp;$G$1)</f>
        <v>4.4999999999999998E-2</v>
      </c>
      <c r="G40" s="2056"/>
      <c r="H40" s="2056"/>
      <c r="I40" s="834" t="s">
        <v>1819</v>
      </c>
      <c r="J40" s="842">
        <f ca="1">1-J39</f>
        <v>-1.0999999999999899E-2</v>
      </c>
      <c r="K40" s="2077"/>
      <c r="L40" s="2056"/>
      <c r="M40" s="2056"/>
    </row>
    <row r="41" spans="1:18" ht="18" customHeight="1">
      <c r="A41" s="783"/>
      <c r="B41" s="784"/>
      <c r="C41" s="785"/>
      <c r="D41" s="818" t="s">
        <v>1808</v>
      </c>
      <c r="E41" s="781" t="s">
        <v>2961</v>
      </c>
      <c r="F41" s="819">
        <f ca="1">IF(INDIRECT("'数据-取费表'!af"&amp;$G$1)=0,INDIRECT("'数据-取费表'!ae"&amp;$G$1),INDIRECT("'数据-取费表'!af"&amp;$G$1))</f>
        <v>46.26</v>
      </c>
      <c r="G41" s="2056"/>
      <c r="H41" s="1982"/>
      <c r="I41" s="840" t="s">
        <v>1820</v>
      </c>
      <c r="J41" s="843"/>
      <c r="K41" s="2076"/>
      <c r="L41" s="1982"/>
      <c r="M41" s="1982"/>
    </row>
    <row r="42" spans="1:18" ht="18" customHeight="1">
      <c r="A42" s="787"/>
      <c r="B42" s="788"/>
      <c r="C42" s="789"/>
      <c r="D42" s="813"/>
      <c r="E42" s="781" t="s">
        <v>1809</v>
      </c>
      <c r="F42" s="791">
        <f ca="1">INDIRECT("'数据-取费表'!v"&amp;$G$1)</f>
        <v>0.03</v>
      </c>
      <c r="G42" s="2056"/>
      <c r="H42" s="1982"/>
      <c r="I42" s="844" t="s">
        <v>1821</v>
      </c>
      <c r="J42" s="842">
        <f ca="1">ROUND(C13/C40,3)</f>
        <v>0.36599999999999999</v>
      </c>
      <c r="K42" s="2076"/>
      <c r="L42" s="1982"/>
      <c r="M42" s="1982"/>
    </row>
    <row r="43" spans="1:18" ht="18" customHeight="1" thickBot="1">
      <c r="A43" s="820" t="s">
        <v>1787</v>
      </c>
      <c r="B43" s="821" t="s">
        <v>1810</v>
      </c>
      <c r="C43" s="822">
        <f ca="1">ROUND(C40*10000/F43,0)</f>
        <v>6784</v>
      </c>
      <c r="D43" s="823" t="s">
        <v>1811</v>
      </c>
      <c r="E43" s="824" t="s">
        <v>1812</v>
      </c>
      <c r="F43" s="825">
        <f ca="1">INDIRECT("'数据-取费表'!k"&amp;$G$1)</f>
        <v>71600</v>
      </c>
      <c r="G43" s="2056"/>
      <c r="H43" s="1982"/>
      <c r="I43" s="844" t="s">
        <v>1822</v>
      </c>
      <c r="J43" s="845">
        <f ca="1">1-J42</f>
        <v>0.63400000000000001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90">
        <f ca="1">C67-C40</f>
        <v>-58003</v>
      </c>
      <c r="D46" s="2079"/>
      <c r="E46" s="2079"/>
      <c r="F46" s="2079"/>
      <c r="I46" s="2370" t="s">
        <v>2343</v>
      </c>
      <c r="J46" s="2371"/>
      <c r="K46" s="2372"/>
      <c r="L46" s="2373">
        <f>IF(OR(M47="住宅",D1="土地（套用方法）"),0,IF(L48&gt;J51,L60,J60))</f>
        <v>0</v>
      </c>
      <c r="O46" s="2410" t="s">
        <v>2411</v>
      </c>
      <c r="P46" s="1586"/>
      <c r="Q46" s="1598"/>
      <c r="R46" s="1586"/>
    </row>
    <row r="47" spans="1:18" s="2053" customFormat="1" ht="18" customHeight="1" thickBot="1">
      <c r="A47" s="2364">
        <v>1</v>
      </c>
      <c r="B47" s="2365" t="s">
        <v>635</v>
      </c>
      <c r="C47" s="2590">
        <f ca="1">C48+C52+C54</f>
        <v>0</v>
      </c>
      <c r="D47" s="2079"/>
      <c r="E47" s="2079"/>
      <c r="F47" s="2079"/>
      <c r="I47" s="2374" t="s">
        <v>2344</v>
      </c>
      <c r="J47" s="2379" t="s">
        <v>4234</v>
      </c>
      <c r="K47" s="2380" t="s">
        <v>2350</v>
      </c>
      <c r="L47" s="2381">
        <f ca="1">INDIRECT("'数据-取费表'!d"&amp;$G$1)</f>
        <v>50</v>
      </c>
      <c r="M47" s="1598" t="str">
        <f>IF(ISNUMBER(FIND("住宅",C1)),"住宅","非住宅")</f>
        <v>非住宅</v>
      </c>
      <c r="O47" s="2411" t="s">
        <v>2376</v>
      </c>
      <c r="P47" s="2412" t="s">
        <v>2377</v>
      </c>
      <c r="Q47" s="2413" t="s">
        <v>2378</v>
      </c>
      <c r="R47" s="2412" t="s">
        <v>2379</v>
      </c>
    </row>
    <row r="48" spans="1:18" s="2053" customFormat="1" ht="18" customHeight="1" thickBot="1">
      <c r="A48" s="2658" t="s">
        <v>2538</v>
      </c>
      <c r="B48" s="2659" t="s">
        <v>2539</v>
      </c>
      <c r="C48" s="2366">
        <f ca="1">ROUND(F48*F50*F49*(1-F51)/10000,0)</f>
        <v>0</v>
      </c>
      <c r="D48" s="2367" t="s">
        <v>636</v>
      </c>
      <c r="E48" s="2368" t="s">
        <v>2296</v>
      </c>
      <c r="F48" s="2369"/>
      <c r="G48" s="2084"/>
      <c r="I48" s="2375" t="s">
        <v>2345</v>
      </c>
      <c r="J48" s="2382" t="s">
        <v>2351</v>
      </c>
      <c r="K48" s="2383" t="s">
        <v>2352</v>
      </c>
      <c r="L48" s="2384">
        <f ca="1">INDIRECT("'数据-取费表'!f"&amp;$G$1)</f>
        <v>48.26</v>
      </c>
      <c r="O48" s="2414" t="s">
        <v>2380</v>
      </c>
      <c r="P48" s="2415" t="s">
        <v>2406</v>
      </c>
      <c r="Q48" s="2416">
        <f ca="1">C40+J29</f>
        <v>48574</v>
      </c>
      <c r="R48" s="2415" t="s">
        <v>2381</v>
      </c>
    </row>
    <row r="49" spans="1:18" s="2053" customFormat="1" ht="18" customHeight="1" thickBot="1">
      <c r="A49" s="783"/>
      <c r="B49" s="784"/>
      <c r="C49" s="785"/>
      <c r="D49" s="786"/>
      <c r="E49" s="781" t="s">
        <v>1739</v>
      </c>
      <c r="F49" s="782">
        <f ca="1">F7</f>
        <v>71600</v>
      </c>
      <c r="G49" s="2084"/>
      <c r="H49" s="2087"/>
      <c r="I49" s="2375" t="s">
        <v>2346</v>
      </c>
      <c r="J49" s="2385"/>
      <c r="K49" s="2386" t="s">
        <v>2353</v>
      </c>
      <c r="L49" s="2387"/>
      <c r="O49" s="2414" t="s">
        <v>2382</v>
      </c>
      <c r="P49" s="2415" t="s">
        <v>2407</v>
      </c>
      <c r="Q49" s="2416" t="str">
        <f ca="1">J60</f>
        <v>0</v>
      </c>
      <c r="R49" s="2415" t="s">
        <v>2383</v>
      </c>
    </row>
    <row r="50" spans="1:18" s="2053" customFormat="1" ht="18" customHeight="1" thickBot="1">
      <c r="A50" s="783"/>
      <c r="B50" s="784"/>
      <c r="C50" s="785"/>
      <c r="D50" s="786"/>
      <c r="E50" s="781" t="s">
        <v>1740</v>
      </c>
      <c r="F50" s="782">
        <f ca="1">F8</f>
        <v>365</v>
      </c>
      <c r="G50" s="2089"/>
      <c r="H50" s="2087"/>
      <c r="I50" s="2375" t="s">
        <v>2347</v>
      </c>
      <c r="J50" s="2388">
        <f>SUMPRODUCT((I63:I65=J47)*(J62:L62=J48)*(J63:L65))</f>
        <v>60</v>
      </c>
      <c r="K50" s="2386" t="s">
        <v>2354</v>
      </c>
      <c r="L50" s="2387"/>
      <c r="O50" s="2417" t="s">
        <v>2384</v>
      </c>
      <c r="P50" s="2415" t="s">
        <v>2408</v>
      </c>
      <c r="Q50" s="2416">
        <f ca="1">C29</f>
        <v>17759</v>
      </c>
      <c r="R50" s="2415" t="s">
        <v>2381</v>
      </c>
    </row>
    <row r="51" spans="1:18" s="2053" customFormat="1" ht="18" customHeight="1" thickBot="1">
      <c r="A51" s="783"/>
      <c r="B51" s="784"/>
      <c r="C51" s="785"/>
      <c r="D51" s="786"/>
      <c r="E51" s="781" t="s">
        <v>640</v>
      </c>
      <c r="F51" s="2363"/>
      <c r="H51" s="2087"/>
      <c r="I51" s="2376" t="s">
        <v>2348</v>
      </c>
      <c r="J51" s="2389">
        <f>IF(J49="",J50,J49+J50-YEAR('数据-取费表'!B2))</f>
        <v>60</v>
      </c>
      <c r="K51" s="2375" t="s">
        <v>2355</v>
      </c>
      <c r="L51" s="2390">
        <f ca="1">ROUND(-PV(INDIRECT("'数据-取费表'!h"&amp;$G$1),L48,(C39-C13*J36),0),0)</f>
        <v>-329</v>
      </c>
      <c r="O51" s="2417" t="s">
        <v>2385</v>
      </c>
      <c r="P51" s="2415" t="s">
        <v>2386</v>
      </c>
      <c r="Q51" s="2418" t="e">
        <f ca="1">J58</f>
        <v>#VALUE!</v>
      </c>
      <c r="R51" s="2419"/>
    </row>
    <row r="52" spans="1:18" s="2053" customFormat="1" ht="18" customHeight="1" thickBot="1">
      <c r="A52" s="778" t="s">
        <v>2537</v>
      </c>
      <c r="B52" s="2510" t="s">
        <v>2460</v>
      </c>
      <c r="C52" s="796">
        <f ca="1">ROUND(IF(F52="押一",C48/12*F11,IF(F52="押二",C48/12*2*F11,IF(F52="押三",C48/12*3*F11,C53*F11))),0)</f>
        <v>0</v>
      </c>
      <c r="D52" s="2517" t="s">
        <v>2972</v>
      </c>
      <c r="E52" s="2514" t="s">
        <v>2465</v>
      </c>
      <c r="F52" s="2637"/>
      <c r="I52" s="2377" t="s">
        <v>2422</v>
      </c>
      <c r="J52" s="2391"/>
      <c r="K52" s="2377" t="s">
        <v>2421</v>
      </c>
      <c r="L52" s="2391"/>
      <c r="O52" s="2417" t="s">
        <v>2387</v>
      </c>
      <c r="P52" s="2415" t="s">
        <v>2388</v>
      </c>
      <c r="Q52" s="2418">
        <f>J52</f>
        <v>0</v>
      </c>
      <c r="R52" s="2419"/>
    </row>
    <row r="53" spans="1:18" s="2053" customFormat="1" ht="39.75" customHeight="1" thickBot="1">
      <c r="A53" s="783"/>
      <c r="B53" s="2511" t="s">
        <v>2574</v>
      </c>
      <c r="C53" s="2515"/>
      <c r="D53" s="2517"/>
      <c r="E53" s="2514"/>
      <c r="F53" s="797"/>
      <c r="I53" s="2378" t="s">
        <v>2349</v>
      </c>
      <c r="J53" s="2392">
        <f ca="1">IF(M47="住宅",J51,IF(D1="——",MIN(J51,L48),IF(D1="土地（套用方法）",MIN(J51,L48-'数据-取费表'!B20))))</f>
        <v>46.26</v>
      </c>
      <c r="K53" s="3575" t="s">
        <v>2963</v>
      </c>
      <c r="L53" s="3576"/>
      <c r="O53" s="2417" t="s">
        <v>2389</v>
      </c>
      <c r="P53" s="2415" t="s">
        <v>2390</v>
      </c>
      <c r="Q53" s="2416">
        <f ca="1">J53</f>
        <v>46.26</v>
      </c>
      <c r="R53" s="2415" t="s">
        <v>2391</v>
      </c>
    </row>
    <row r="54" spans="1:18" s="2053" customFormat="1" ht="18" customHeight="1" thickBot="1">
      <c r="A54" s="2553" t="s">
        <v>2468</v>
      </c>
      <c r="B54" s="2554" t="s">
        <v>2461</v>
      </c>
      <c r="C54" s="2555"/>
      <c r="D54" s="2517"/>
      <c r="E54" s="2514"/>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4" t="s">
        <v>2392</v>
      </c>
      <c r="P54" s="2415" t="s">
        <v>2409</v>
      </c>
      <c r="Q54" s="2416">
        <f ca="1">Q48+Q49</f>
        <v>48574</v>
      </c>
      <c r="R54" s="2419" t="s">
        <v>2393</v>
      </c>
    </row>
    <row r="55" spans="1:18" s="2053" customFormat="1" ht="18" customHeight="1" thickTop="1" thickBot="1">
      <c r="A55" s="794">
        <v>2</v>
      </c>
      <c r="B55" s="795" t="s">
        <v>644</v>
      </c>
      <c r="C55" s="796">
        <f ca="1">C13</f>
        <v>17759</v>
      </c>
      <c r="D55" s="792"/>
      <c r="E55" s="792"/>
      <c r="F55" s="797"/>
      <c r="I55" s="3114" t="s">
        <v>2356</v>
      </c>
      <c r="J55" s="3113" t="e">
        <f ca="1">ROUND(IF(J47="钢混",J57/J50,1-(1-2%)*(J50-J57)/J50),3)</f>
        <v>#VALUE!</v>
      </c>
      <c r="K55" s="2393" t="s">
        <v>2357</v>
      </c>
      <c r="L55" s="2394"/>
      <c r="O55" s="2420" t="s">
        <v>2412</v>
      </c>
      <c r="P55" s="1586"/>
      <c r="Q55" s="1598"/>
      <c r="R55" s="1586"/>
    </row>
    <row r="56" spans="1:18" s="2053" customFormat="1" ht="42.75" customHeight="1" thickBot="1">
      <c r="A56" s="1644"/>
      <c r="B56" s="2225" t="s">
        <v>2302</v>
      </c>
      <c r="C56" s="53">
        <f ca="1">C29</f>
        <v>17759</v>
      </c>
      <c r="D56" s="2655"/>
      <c r="E56" s="781"/>
      <c r="F56" s="806"/>
      <c r="I56" s="2395" t="s">
        <v>2358</v>
      </c>
      <c r="J56" s="3137" t="s">
        <v>1678</v>
      </c>
      <c r="K56" s="2375" t="s">
        <v>2363</v>
      </c>
      <c r="L56" s="2384" t="str">
        <f ca="1">IF(L48&lt;J51,"——",L48-J51)</f>
        <v>——</v>
      </c>
      <c r="O56" s="2411" t="s">
        <v>2376</v>
      </c>
      <c r="P56" s="2412" t="s">
        <v>2377</v>
      </c>
      <c r="Q56" s="2413" t="s">
        <v>2378</v>
      </c>
      <c r="R56" s="2412" t="s">
        <v>2379</v>
      </c>
    </row>
    <row r="57" spans="1:18" s="2053" customFormat="1" ht="28.5" customHeight="1" thickBot="1">
      <c r="A57" s="794" t="s">
        <v>1748</v>
      </c>
      <c r="B57" s="795" t="s">
        <v>651</v>
      </c>
      <c r="C57" s="796">
        <f ca="1">ROUND(C58+C63+C64+C65,0)</f>
        <v>488</v>
      </c>
      <c r="D57" s="26" t="s">
        <v>1750</v>
      </c>
      <c r="E57" s="2656"/>
      <c r="F57" s="56"/>
      <c r="I57" s="2396" t="s">
        <v>2359</v>
      </c>
      <c r="J57" s="2398" t="str">
        <f ca="1">IF(OR(M47="住宅",J51&lt;L48,J56="是"),"——",J51-L48)</f>
        <v>——</v>
      </c>
      <c r="K57" s="2375" t="s">
        <v>2364</v>
      </c>
      <c r="L57" s="2384" t="str">
        <f ca="1">IF(L48&lt;J51,"——",IF(L55="比较法",L49,IF(L55="基准地价",L50,L51)))</f>
        <v>——</v>
      </c>
      <c r="O57" s="2414" t="s">
        <v>2380</v>
      </c>
      <c r="P57" s="2415" t="s">
        <v>2410</v>
      </c>
      <c r="Q57" s="2416">
        <f ca="1">C40+J29</f>
        <v>48574</v>
      </c>
      <c r="R57" s="2415" t="s">
        <v>2381</v>
      </c>
    </row>
    <row r="58" spans="1:18" s="2053" customFormat="1" ht="28.5" customHeight="1" thickBot="1">
      <c r="A58" s="1643" t="s">
        <v>1824</v>
      </c>
      <c r="B58" s="781" t="s">
        <v>656</v>
      </c>
      <c r="C58" s="53">
        <f ca="1">ROUND(IF(项目基本情况!B11="自然人",C47*F58,C59+C60+C61),1)</f>
        <v>194.7</v>
      </c>
      <c r="D58" s="2654" t="s">
        <v>657</v>
      </c>
      <c r="E58" s="2655" t="s">
        <v>690</v>
      </c>
      <c r="F58" s="807" t="str">
        <f ca="1">IF(项目基本情况!B11="企业","",IF(INDIRECT("'数据-取费表'!c"&amp;$G$1)="住宅",5%,IF(F48*F49*F50/12/(1+'数据-取费表'!C42)&gt;20000,12%,7%)))</f>
        <v/>
      </c>
      <c r="I58" s="2396" t="s">
        <v>2360</v>
      </c>
      <c r="J58" s="3115" t="e">
        <f ca="1">IF(J55&lt;0.4,0.4,J55)</f>
        <v>#VALUE!</v>
      </c>
      <c r="K58" s="2375" t="s">
        <v>2365</v>
      </c>
      <c r="L58" s="2384" t="e">
        <f ca="1">ROUND(POWER(1+L52,L47-L48)*(POWER(1+L52,L48)-1)/(POWER(1+L52,L47)-1),4)</f>
        <v>#DIV/0!</v>
      </c>
      <c r="O58" s="2414" t="s">
        <v>2382</v>
      </c>
      <c r="P58" s="2415" t="s">
        <v>2413</v>
      </c>
      <c r="Q58" s="2416">
        <f ca="1">L60</f>
        <v>0</v>
      </c>
      <c r="R58" s="2419" t="s">
        <v>2415</v>
      </c>
    </row>
    <row r="59" spans="1:18" s="2053" customFormat="1" ht="28.5" customHeight="1" thickBot="1">
      <c r="A59" s="1642" t="s">
        <v>1831</v>
      </c>
      <c r="B59" s="781" t="s">
        <v>660</v>
      </c>
      <c r="C59" s="53">
        <f ca="1">ROUND(C47*F59/1.05,1)</f>
        <v>0</v>
      </c>
      <c r="D59" s="2655" t="s">
        <v>1756</v>
      </c>
      <c r="E59" s="781" t="s">
        <v>1747</v>
      </c>
      <c r="F59" s="806">
        <f t="shared" ref="F59:F65" si="0">F32</f>
        <v>5.6500000000000002E-2</v>
      </c>
      <c r="I59" s="2396" t="s">
        <v>2361</v>
      </c>
      <c r="J59" s="2398"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2384</v>
      </c>
      <c r="P59" s="2415" t="s">
        <v>2414</v>
      </c>
      <c r="Q59" s="2416">
        <f>IF(L55="比较法",L49,IF(L55="基准地价",L50,0))</f>
        <v>0</v>
      </c>
      <c r="R59" s="2415" t="s">
        <v>2381</v>
      </c>
    </row>
    <row r="60" spans="1:18" s="2053" customFormat="1" ht="18" customHeight="1" thickBot="1">
      <c r="A60" s="1642" t="s">
        <v>1832</v>
      </c>
      <c r="B60" s="781" t="s">
        <v>1758</v>
      </c>
      <c r="C60" s="53">
        <f ca="1">IF(D60="按租金收入计税",ROUND(C47*F60,1),IF(D60="按房产原值计税",ROUND(C56*F60*0.7,1),INDIRECT("'数据-取费表'!Aj"&amp;$G$1)))</f>
        <v>149.19999999999999</v>
      </c>
      <c r="D60" s="2655" t="str">
        <f>D33</f>
        <v>按房产原值计税</v>
      </c>
      <c r="E60" s="781" t="s">
        <v>1747</v>
      </c>
      <c r="F60" s="806">
        <f t="shared" si="0"/>
        <v>1.2E-2</v>
      </c>
      <c r="I60" s="2397" t="s">
        <v>2362</v>
      </c>
      <c r="J60" s="2399" t="str">
        <f ca="1">IF(OR(M47="住宅",J51&lt;L48,J56="是"),"0",ROUND(J59/(1+J52)^J53,0))</f>
        <v>0</v>
      </c>
      <c r="K60" s="2400" t="s">
        <v>2367</v>
      </c>
      <c r="L60" s="2399">
        <f ca="1">IF(OR(M47="住宅",L48&lt;J51),0,ROUND(L57*(L58/L59-1),0))</f>
        <v>0</v>
      </c>
      <c r="O60" s="2417" t="s">
        <v>2385</v>
      </c>
      <c r="P60" s="2415" t="s">
        <v>2394</v>
      </c>
      <c r="Q60" s="2418">
        <f>L52</f>
        <v>0</v>
      </c>
      <c r="R60" s="2419"/>
    </row>
    <row r="61" spans="1:18" s="2053" customFormat="1" ht="18" customHeight="1" thickBot="1">
      <c r="A61" s="1645" t="s">
        <v>1833</v>
      </c>
      <c r="B61" s="338" t="s">
        <v>668</v>
      </c>
      <c r="C61" s="54">
        <f ca="1">ROUND(F61*F62/10000,1)</f>
        <v>45.5</v>
      </c>
      <c r="D61" s="811" t="s">
        <v>669</v>
      </c>
      <c r="E61" s="781" t="s">
        <v>670</v>
      </c>
      <c r="F61" s="637">
        <f t="shared" si="0"/>
        <v>15</v>
      </c>
      <c r="K61" s="2080"/>
      <c r="O61" s="2417" t="s">
        <v>2387</v>
      </c>
      <c r="P61" s="2415" t="s">
        <v>2395</v>
      </c>
      <c r="Q61" s="2416" t="e">
        <f ca="1">L58</f>
        <v>#DIV/0!</v>
      </c>
      <c r="R61" s="2419" t="s">
        <v>2396</v>
      </c>
    </row>
    <row r="62" spans="1:18" s="2053" customFormat="1" ht="15.75" thickBot="1">
      <c r="A62" s="812"/>
      <c r="B62" s="790"/>
      <c r="C62" s="69"/>
      <c r="D62" s="813"/>
      <c r="E62" s="781" t="s">
        <v>674</v>
      </c>
      <c r="F62" s="782">
        <f t="shared" ca="1" si="0"/>
        <v>30366.420000000002</v>
      </c>
      <c r="I62" s="2401" t="s">
        <v>2368</v>
      </c>
      <c r="J62" s="2402" t="s">
        <v>2369</v>
      </c>
      <c r="K62" s="2402" t="s">
        <v>2370</v>
      </c>
      <c r="L62" s="2402" t="s">
        <v>2351</v>
      </c>
      <c r="M62" s="3116" t="s">
        <v>2939</v>
      </c>
      <c r="O62" s="2417" t="s">
        <v>2389</v>
      </c>
      <c r="P62" s="2415" t="str">
        <f>K59</f>
        <v>建设期及建筑物耐用年限下的土地年期修正系数Kn</v>
      </c>
      <c r="Q62" s="2416" t="e">
        <f ca="1">L59</f>
        <v>#DIV/0!</v>
      </c>
      <c r="R62" s="2419" t="s">
        <v>2398</v>
      </c>
    </row>
    <row r="63" spans="1:18" s="2053" customFormat="1" ht="15.75" thickBot="1">
      <c r="A63" s="1643" t="s">
        <v>1889</v>
      </c>
      <c r="B63" s="781" t="s">
        <v>676</v>
      </c>
      <c r="C63" s="53">
        <f ca="1">ROUND(C56*F63,1)</f>
        <v>266.39999999999998</v>
      </c>
      <c r="D63" s="2655" t="s">
        <v>1803</v>
      </c>
      <c r="E63" s="781" t="s">
        <v>1747</v>
      </c>
      <c r="F63" s="814">
        <f t="shared" ca="1" si="0"/>
        <v>1.4999999999999999E-2</v>
      </c>
      <c r="I63" s="2401" t="s">
        <v>2371</v>
      </c>
      <c r="J63" s="2402">
        <v>70</v>
      </c>
      <c r="K63" s="2402">
        <v>50</v>
      </c>
      <c r="L63" s="2402">
        <v>80</v>
      </c>
      <c r="M63" s="3117">
        <v>0.02</v>
      </c>
      <c r="O63" s="2414" t="s">
        <v>2392</v>
      </c>
      <c r="P63" s="2415" t="s">
        <v>2409</v>
      </c>
      <c r="Q63" s="2416">
        <f ca="1">Q57+Q58</f>
        <v>48574</v>
      </c>
      <c r="R63" s="2419" t="s">
        <v>2393</v>
      </c>
    </row>
    <row r="64" spans="1:18" s="2053" customFormat="1" ht="16.5" thickBot="1">
      <c r="A64" s="1643" t="s">
        <v>1890</v>
      </c>
      <c r="B64" s="781" t="s">
        <v>679</v>
      </c>
      <c r="C64" s="53">
        <f ca="1">ROUND(C55*F64,1)</f>
        <v>26.6</v>
      </c>
      <c r="D64" s="2655" t="s">
        <v>680</v>
      </c>
      <c r="E64" s="781" t="s">
        <v>1747</v>
      </c>
      <c r="F64" s="815">
        <f t="shared" ca="1" si="0"/>
        <v>1.5E-3</v>
      </c>
      <c r="I64" s="2401" t="s">
        <v>2372</v>
      </c>
      <c r="J64" s="2402">
        <v>50</v>
      </c>
      <c r="K64" s="2402">
        <v>35</v>
      </c>
      <c r="L64" s="2402">
        <v>60</v>
      </c>
      <c r="M64" s="3118">
        <v>0</v>
      </c>
      <c r="O64" s="2420" t="s">
        <v>2416</v>
      </c>
      <c r="P64" s="1586"/>
      <c r="Q64" s="1598"/>
      <c r="R64" s="1586"/>
    </row>
    <row r="65" spans="1:18" s="2053" customFormat="1" ht="15.75" thickBot="1">
      <c r="A65" s="1643" t="s">
        <v>1891</v>
      </c>
      <c r="B65" s="781" t="s">
        <v>666</v>
      </c>
      <c r="C65" s="53">
        <f ca="1">ROUND(C47*F65,1)</f>
        <v>0</v>
      </c>
      <c r="D65" s="2655" t="s">
        <v>683</v>
      </c>
      <c r="E65" s="781" t="s">
        <v>1747</v>
      </c>
      <c r="F65" s="791">
        <f t="shared" ca="1" si="0"/>
        <v>0.01</v>
      </c>
      <c r="I65" s="2401" t="s">
        <v>2373</v>
      </c>
      <c r="J65" s="2402">
        <v>40</v>
      </c>
      <c r="K65" s="2402">
        <v>30</v>
      </c>
      <c r="L65" s="2402">
        <v>50</v>
      </c>
      <c r="M65" s="3117">
        <v>0.02</v>
      </c>
      <c r="O65" s="2411" t="s">
        <v>2376</v>
      </c>
      <c r="P65" s="2412" t="s">
        <v>2377</v>
      </c>
      <c r="Q65" s="2413" t="s">
        <v>2378</v>
      </c>
      <c r="R65" s="2412" t="s">
        <v>2379</v>
      </c>
    </row>
    <row r="66" spans="1:18" s="2053" customFormat="1" ht="24.75" thickBot="1">
      <c r="A66" s="794" t="s">
        <v>1776</v>
      </c>
      <c r="B66" s="3027" t="s">
        <v>2823</v>
      </c>
      <c r="C66" s="796">
        <f ca="1">C47-C57</f>
        <v>-488</v>
      </c>
      <c r="D66" s="2654" t="s">
        <v>700</v>
      </c>
      <c r="E66" s="2653"/>
      <c r="F66" s="817"/>
      <c r="K66" s="2080"/>
      <c r="O66" s="2414" t="s">
        <v>2380</v>
      </c>
      <c r="P66" s="2415" t="s">
        <v>2410</v>
      </c>
      <c r="Q66" s="2416">
        <f ca="1">C40+J29</f>
        <v>48574</v>
      </c>
      <c r="R66" s="2415" t="s">
        <v>2381</v>
      </c>
    </row>
    <row r="67" spans="1:18" s="2053" customFormat="1" ht="20.25" thickBot="1">
      <c r="A67" s="778" t="s">
        <v>1780</v>
      </c>
      <c r="B67" s="2226" t="s">
        <v>2301</v>
      </c>
      <c r="C67" s="780">
        <f ca="1">ROUND(C66*(1-((1+F69)/(1+F67))^F68)/(F67-F69),0)</f>
        <v>-9429</v>
      </c>
      <c r="D67" s="811" t="s">
        <v>704</v>
      </c>
      <c r="E67" s="781" t="s">
        <v>705</v>
      </c>
      <c r="F67" s="791">
        <f ca="1">F40</f>
        <v>4.4999999999999998E-2</v>
      </c>
      <c r="K67" s="2080"/>
      <c r="O67" s="2414" t="s">
        <v>2382</v>
      </c>
      <c r="P67" s="2415" t="s">
        <v>2413</v>
      </c>
      <c r="Q67" s="2416">
        <f ca="1">L60</f>
        <v>0</v>
      </c>
      <c r="R67" s="2419" t="s">
        <v>2415</v>
      </c>
    </row>
    <row r="68" spans="1:18" ht="21.75" thickBot="1">
      <c r="A68" s="783"/>
      <c r="B68" s="784"/>
      <c r="C68" s="785"/>
      <c r="D68" s="818" t="s">
        <v>1808</v>
      </c>
      <c r="E68" s="781" t="s">
        <v>1784</v>
      </c>
      <c r="F68" s="819">
        <f ca="1">F41</f>
        <v>46.26</v>
      </c>
      <c r="O68" s="2417" t="s">
        <v>2384</v>
      </c>
      <c r="P68" s="2415" t="s">
        <v>2414</v>
      </c>
      <c r="Q68" s="2421">
        <f ca="1">L51</f>
        <v>-329</v>
      </c>
      <c r="R68" s="2422" t="s">
        <v>2417</v>
      </c>
    </row>
    <row r="69" spans="1:18" ht="20.25" thickBot="1">
      <c r="A69" s="787"/>
      <c r="B69" s="788"/>
      <c r="C69" s="789"/>
      <c r="D69" s="813"/>
      <c r="E69" s="781" t="s">
        <v>710</v>
      </c>
      <c r="F69" s="2363"/>
      <c r="O69" s="2417" t="s">
        <v>2385</v>
      </c>
      <c r="P69" s="2423" t="s">
        <v>2399</v>
      </c>
      <c r="Q69" s="2416">
        <f ca="1">ROUND(Q70-Q71*Q72,0)</f>
        <v>-16</v>
      </c>
      <c r="R69" s="2419"/>
    </row>
    <row r="70" spans="1:18" ht="15.75" thickBot="1">
      <c r="A70" s="820" t="s">
        <v>1787</v>
      </c>
      <c r="B70" s="821" t="s">
        <v>1810</v>
      </c>
      <c r="C70" s="822">
        <f ca="1">ROUND(C67*10000/F70,0)</f>
        <v>-1317</v>
      </c>
      <c r="D70" s="823" t="s">
        <v>1811</v>
      </c>
      <c r="E70" s="824" t="s">
        <v>1812</v>
      </c>
      <c r="F70" s="825">
        <f ca="1">F43</f>
        <v>71600</v>
      </c>
      <c r="O70" s="2417" t="s">
        <v>2400</v>
      </c>
      <c r="P70" s="2423" t="s">
        <v>2401</v>
      </c>
      <c r="Q70" s="2416">
        <f ca="1">C39</f>
        <v>1494</v>
      </c>
      <c r="R70" s="2415" t="s">
        <v>2381</v>
      </c>
    </row>
    <row r="71" spans="1:18" ht="15.75" thickBot="1">
      <c r="O71" s="2417" t="s">
        <v>2402</v>
      </c>
      <c r="P71" s="2423" t="s">
        <v>2403</v>
      </c>
      <c r="Q71" s="2416">
        <f ca="1">C13</f>
        <v>17759</v>
      </c>
      <c r="R71" s="2415" t="s">
        <v>2381</v>
      </c>
    </row>
    <row r="72" spans="1:18" ht="15.75" thickBot="1">
      <c r="O72" s="2417" t="s">
        <v>2404</v>
      </c>
      <c r="P72" s="2423" t="s">
        <v>2405</v>
      </c>
      <c r="Q72" s="2418">
        <f ca="1">J36</f>
        <v>8.5000000000000006E-2</v>
      </c>
      <c r="R72" s="2419"/>
    </row>
    <row r="73" spans="1:18" ht="15.75" thickBot="1">
      <c r="O73" s="2417" t="s">
        <v>2387</v>
      </c>
      <c r="P73" s="2415" t="s">
        <v>2394</v>
      </c>
      <c r="Q73" s="2418">
        <f>L52</f>
        <v>0</v>
      </c>
      <c r="R73" s="2419"/>
    </row>
    <row r="74" spans="1:18" ht="20.25" thickBot="1">
      <c r="O74" s="2417" t="s">
        <v>2389</v>
      </c>
      <c r="P74" s="2415" t="s">
        <v>2395</v>
      </c>
      <c r="Q74" s="2416" t="e">
        <f ca="1">L58</f>
        <v>#DIV/0!</v>
      </c>
      <c r="R74" s="2419" t="s">
        <v>2396</v>
      </c>
    </row>
    <row r="75" spans="1:18" ht="15.75" thickBot="1">
      <c r="O75" s="2417" t="s">
        <v>2418</v>
      </c>
      <c r="P75" s="2415" t="str">
        <f>K59</f>
        <v>建设期及建筑物耐用年限下的土地年期修正系数Kn</v>
      </c>
      <c r="Q75" s="2416" t="e">
        <f ca="1">L59</f>
        <v>#DIV/0!</v>
      </c>
      <c r="R75" s="2419" t="s">
        <v>2398</v>
      </c>
    </row>
    <row r="76" spans="1:18" ht="15.75" thickBot="1">
      <c r="O76" s="2414" t="s">
        <v>2392</v>
      </c>
      <c r="P76" s="2415" t="s">
        <v>2409</v>
      </c>
      <c r="Q76" s="2416">
        <f ca="1">Q66+Q67</f>
        <v>48574</v>
      </c>
      <c r="R76" s="2419"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3" t="s">
        <v>2472</v>
      </c>
      <c r="B1" s="3594"/>
      <c r="C1" s="3595"/>
      <c r="D1" s="3596">
        <f>SUM(I10,I15,I20,I21,I23)</f>
        <v>0</v>
      </c>
      <c r="E1" s="3596"/>
      <c r="F1" s="3596"/>
      <c r="G1" s="3596"/>
      <c r="H1" s="3596"/>
      <c r="I1" s="3597"/>
    </row>
    <row r="2" spans="1:9">
      <c r="A2" s="3583" t="s">
        <v>2473</v>
      </c>
      <c r="B2" s="3584" t="s">
        <v>2474</v>
      </c>
      <c r="C2" s="3584"/>
      <c r="D2" s="2523" t="s">
        <v>2475</v>
      </c>
      <c r="E2" s="2523" t="s">
        <v>2476</v>
      </c>
      <c r="F2" s="2523" t="s">
        <v>2477</v>
      </c>
      <c r="G2" s="2523" t="s">
        <v>2478</v>
      </c>
      <c r="H2" s="2523" t="s">
        <v>2479</v>
      </c>
      <c r="I2" s="2524" t="s">
        <v>2480</v>
      </c>
    </row>
    <row r="3" spans="1:9">
      <c r="A3" s="3583"/>
      <c r="B3" s="3584" t="s">
        <v>2481</v>
      </c>
      <c r="C3" s="3584"/>
      <c r="D3" s="2525"/>
      <c r="E3" s="2523"/>
      <c r="F3" s="2526"/>
      <c r="G3" s="2526"/>
      <c r="H3" s="2527"/>
      <c r="I3" s="2528">
        <f>ROUND(D3*E3*F3*G3*H3/10000,0)</f>
        <v>0</v>
      </c>
    </row>
    <row r="4" spans="1:9">
      <c r="A4" s="3583"/>
      <c r="B4" s="3584" t="s">
        <v>2482</v>
      </c>
      <c r="C4" s="3584"/>
      <c r="D4" s="2525"/>
      <c r="E4" s="2523"/>
      <c r="F4" s="2526"/>
      <c r="G4" s="2526"/>
      <c r="H4" s="2527"/>
      <c r="I4" s="2528">
        <f t="shared" ref="I4:I9" si="0">ROUND(D4*E4*F4*G4*H4/10000,0)</f>
        <v>0</v>
      </c>
    </row>
    <row r="5" spans="1:9">
      <c r="A5" s="3583"/>
      <c r="B5" s="3584" t="s">
        <v>2483</v>
      </c>
      <c r="C5" s="3584"/>
      <c r="D5" s="2525"/>
      <c r="E5" s="2523"/>
      <c r="F5" s="2526"/>
      <c r="G5" s="2526"/>
      <c r="H5" s="2527"/>
      <c r="I5" s="2528">
        <f t="shared" si="0"/>
        <v>0</v>
      </c>
    </row>
    <row r="6" spans="1:9">
      <c r="A6" s="3583"/>
      <c r="B6" s="3584" t="s">
        <v>2484</v>
      </c>
      <c r="C6" s="3584"/>
      <c r="D6" s="2525"/>
      <c r="E6" s="2523"/>
      <c r="F6" s="2526"/>
      <c r="G6" s="2526"/>
      <c r="H6" s="2527"/>
      <c r="I6" s="2528">
        <f t="shared" si="0"/>
        <v>0</v>
      </c>
    </row>
    <row r="7" spans="1:9">
      <c r="A7" s="3583"/>
      <c r="B7" s="3584" t="s">
        <v>2485</v>
      </c>
      <c r="C7" s="3584"/>
      <c r="D7" s="2525"/>
      <c r="E7" s="2523"/>
      <c r="F7" s="2526"/>
      <c r="G7" s="2526"/>
      <c r="H7" s="2527"/>
      <c r="I7" s="2528">
        <f t="shared" si="0"/>
        <v>0</v>
      </c>
    </row>
    <row r="8" spans="1:9">
      <c r="A8" s="3583"/>
      <c r="B8" s="3584" t="s">
        <v>2486</v>
      </c>
      <c r="C8" s="3584"/>
      <c r="D8" s="2525"/>
      <c r="E8" s="2523"/>
      <c r="F8" s="2526"/>
      <c r="G8" s="2526"/>
      <c r="H8" s="2527"/>
      <c r="I8" s="2528">
        <f t="shared" si="0"/>
        <v>0</v>
      </c>
    </row>
    <row r="9" spans="1:9">
      <c r="A9" s="3583"/>
      <c r="B9" s="3584" t="s">
        <v>2487</v>
      </c>
      <c r="C9" s="3584"/>
      <c r="D9" s="2525"/>
      <c r="E9" s="2523"/>
      <c r="F9" s="2526"/>
      <c r="G9" s="2526"/>
      <c r="H9" s="2527"/>
      <c r="I9" s="2528">
        <f t="shared" si="0"/>
        <v>0</v>
      </c>
    </row>
    <row r="10" spans="1:9">
      <c r="A10" s="3583"/>
      <c r="B10" s="3585" t="s">
        <v>2488</v>
      </c>
      <c r="C10" s="3585"/>
      <c r="D10" s="2529">
        <v>527</v>
      </c>
      <c r="E10" s="2529" t="e">
        <f>ROUND(D1*10000/D10/H9,0)</f>
        <v>#DIV/0!</v>
      </c>
      <c r="F10" s="2530"/>
      <c r="G10" s="2530"/>
      <c r="H10" s="2531"/>
      <c r="I10" s="2532">
        <f>SUM(I3:I9)</f>
        <v>0</v>
      </c>
    </row>
    <row r="11" spans="1:9" ht="14.25">
      <c r="A11" s="3583" t="s">
        <v>2489</v>
      </c>
      <c r="B11" s="3584" t="s">
        <v>2490</v>
      </c>
      <c r="C11" s="3584"/>
      <c r="D11" s="2525" t="s">
        <v>2491</v>
      </c>
      <c r="E11" s="2525" t="s">
        <v>2492</v>
      </c>
      <c r="F11" s="2526" t="s">
        <v>2493</v>
      </c>
      <c r="G11" s="2526" t="s">
        <v>2494</v>
      </c>
      <c r="H11" s="2533" t="s">
        <v>2495</v>
      </c>
      <c r="I11" s="2524" t="s">
        <v>2496</v>
      </c>
    </row>
    <row r="12" spans="1:9">
      <c r="A12" s="3583"/>
      <c r="B12" s="3584" t="s">
        <v>2497</v>
      </c>
      <c r="C12" s="3584"/>
      <c r="D12" s="2525"/>
      <c r="E12" s="2525"/>
      <c r="F12" s="2526"/>
      <c r="G12" s="2527"/>
      <c r="H12" s="2534"/>
      <c r="I12" s="2524">
        <f>ROUND(D12*E12*F12*G12/10000,0)</f>
        <v>0</v>
      </c>
    </row>
    <row r="13" spans="1:9">
      <c r="A13" s="3583"/>
      <c r="B13" s="3584" t="s">
        <v>2498</v>
      </c>
      <c r="C13" s="3584"/>
      <c r="D13" s="2525"/>
      <c r="E13" s="2525"/>
      <c r="F13" s="2526"/>
      <c r="G13" s="2527"/>
      <c r="H13" s="2534"/>
      <c r="I13" s="2524">
        <f>ROUND(D13*E13*F13*G13/10000,0)</f>
        <v>0</v>
      </c>
    </row>
    <row r="14" spans="1:9">
      <c r="A14" s="3583"/>
      <c r="B14" s="3584" t="s">
        <v>2499</v>
      </c>
      <c r="C14" s="3584"/>
      <c r="D14" s="2525"/>
      <c r="E14" s="2525"/>
      <c r="F14" s="2526"/>
      <c r="G14" s="2527"/>
      <c r="H14" s="2534"/>
      <c r="I14" s="2524">
        <f>ROUND(D14*E14*F14*G14/10000,0)</f>
        <v>0</v>
      </c>
    </row>
    <row r="15" spans="1:9">
      <c r="A15" s="3583"/>
      <c r="B15" s="3585" t="s">
        <v>2488</v>
      </c>
      <c r="C15" s="3585"/>
      <c r="D15" s="2529"/>
      <c r="E15" s="2529">
        <f>SUM(E12:E14)</f>
        <v>0</v>
      </c>
      <c r="F15" s="2530"/>
      <c r="G15" s="2527"/>
      <c r="H15" s="2534"/>
      <c r="I15" s="2535">
        <f>SUM(I12:I14)</f>
        <v>0</v>
      </c>
    </row>
    <row r="16" spans="1:9" ht="24">
      <c r="A16" s="3583" t="s">
        <v>2500</v>
      </c>
      <c r="B16" s="3584" t="s">
        <v>2501</v>
      </c>
      <c r="C16" s="3584"/>
      <c r="D16" s="2525" t="s">
        <v>2502</v>
      </c>
      <c r="E16" s="2536" t="s">
        <v>2503</v>
      </c>
      <c r="F16" s="2526" t="s">
        <v>2504</v>
      </c>
      <c r="G16" s="2527" t="s">
        <v>2494</v>
      </c>
      <c r="H16" s="2533" t="s">
        <v>2495</v>
      </c>
      <c r="I16" s="2524" t="s">
        <v>2496</v>
      </c>
    </row>
    <row r="17" spans="1:9" ht="14.25">
      <c r="A17" s="3583"/>
      <c r="B17" s="3584" t="s">
        <v>2505</v>
      </c>
      <c r="C17" s="3584"/>
      <c r="D17" s="2525"/>
      <c r="E17" s="2525"/>
      <c r="F17" s="2526"/>
      <c r="G17" s="2527"/>
      <c r="H17" s="2537"/>
      <c r="I17" s="2538">
        <f>ROUND(D17*E17*F17*G17/10000,0)</f>
        <v>0</v>
      </c>
    </row>
    <row r="18" spans="1:9" ht="14.25">
      <c r="A18" s="3583"/>
      <c r="B18" s="3584" t="s">
        <v>2506</v>
      </c>
      <c r="C18" s="3584"/>
      <c r="D18" s="2525"/>
      <c r="E18" s="2525"/>
      <c r="F18" s="2526"/>
      <c r="G18" s="2527"/>
      <c r="H18" s="2537"/>
      <c r="I18" s="2538">
        <f>ROUND(D18*E18*F18*G18/10000,0)</f>
        <v>0</v>
      </c>
    </row>
    <row r="19" spans="1:9" ht="14.25">
      <c r="A19" s="3583"/>
      <c r="B19" s="3584" t="s">
        <v>2507</v>
      </c>
      <c r="C19" s="3584"/>
      <c r="D19" s="2525"/>
      <c r="E19" s="2525"/>
      <c r="F19" s="2526"/>
      <c r="G19" s="2527"/>
      <c r="H19" s="2537"/>
      <c r="I19" s="2538">
        <f>ROUND(D19*E19*F19*G19/10000,0)</f>
        <v>0</v>
      </c>
    </row>
    <row r="20" spans="1:9">
      <c r="A20" s="3583"/>
      <c r="B20" s="3585" t="s">
        <v>2488</v>
      </c>
      <c r="C20" s="3585"/>
      <c r="D20" s="2529">
        <f>SUM(D17:D19)</f>
        <v>0</v>
      </c>
      <c r="E20" s="2529"/>
      <c r="F20" s="2530"/>
      <c r="G20" s="2527"/>
      <c r="H20" s="2534"/>
      <c r="I20" s="2535">
        <f>SUM(I17:I19)</f>
        <v>0</v>
      </c>
    </row>
    <row r="21" spans="1:9">
      <c r="A21" s="3583" t="s">
        <v>2508</v>
      </c>
      <c r="B21" s="3586"/>
      <c r="C21" s="3586"/>
      <c r="D21" s="3586"/>
      <c r="E21" s="3586"/>
      <c r="F21" s="3586"/>
      <c r="G21" s="3586"/>
      <c r="H21" s="2539">
        <v>0.1</v>
      </c>
      <c r="I21" s="2532">
        <f>ROUND(I10*H21,0)</f>
        <v>0</v>
      </c>
    </row>
    <row r="22" spans="1:9" ht="14.25">
      <c r="A22" s="3587" t="s">
        <v>2509</v>
      </c>
      <c r="B22" s="3588"/>
      <c r="C22" s="3589"/>
      <c r="D22" s="2540" t="s">
        <v>2510</v>
      </c>
      <c r="E22" s="2540" t="s">
        <v>2511</v>
      </c>
      <c r="F22" s="2541" t="s">
        <v>2512</v>
      </c>
      <c r="G22" s="2541" t="s">
        <v>2513</v>
      </c>
      <c r="H22" s="2533" t="s">
        <v>2514</v>
      </c>
      <c r="I22" s="2524" t="s">
        <v>2515</v>
      </c>
    </row>
    <row r="23" spans="1:9" ht="14.25" thickBot="1">
      <c r="A23" s="3590"/>
      <c r="B23" s="3591"/>
      <c r="C23" s="3592"/>
      <c r="D23" s="2542"/>
      <c r="E23" s="2542"/>
      <c r="F23" s="2542"/>
      <c r="G23" s="2543"/>
      <c r="H23" s="2544"/>
      <c r="I23" s="2545">
        <f>ROUND(E23*D23*F23*(1-G23)/10000,0)</f>
        <v>0</v>
      </c>
    </row>
    <row r="26" spans="1:9">
      <c r="A26" s="2546" t="s">
        <v>2516</v>
      </c>
      <c r="B26" s="2546"/>
      <c r="C26" s="2546"/>
      <c r="D26" s="2546"/>
      <c r="E26" s="3580">
        <f>C27-C30-C31-C32</f>
        <v>0</v>
      </c>
      <c r="F26" s="3580"/>
      <c r="G26" s="3580"/>
      <c r="H26" s="3058" t="s">
        <v>2844</v>
      </c>
    </row>
    <row r="27" spans="1:9">
      <c r="A27" s="2547">
        <v>1</v>
      </c>
      <c r="B27" s="2548" t="s">
        <v>2517</v>
      </c>
      <c r="C27" s="2548"/>
      <c r="D27" s="2548"/>
      <c r="E27" s="3581"/>
      <c r="F27" s="3581"/>
      <c r="G27" s="3581"/>
    </row>
    <row r="28" spans="1:9">
      <c r="A28" s="2549" t="s">
        <v>2518</v>
      </c>
      <c r="B28" s="2548" t="s">
        <v>2519</v>
      </c>
      <c r="C28" s="2548"/>
      <c r="D28" s="2548"/>
      <c r="E28" s="3581"/>
      <c r="F28" s="3581"/>
      <c r="G28" s="3581"/>
    </row>
    <row r="29" spans="1:9">
      <c r="A29" s="2549" t="s">
        <v>2520</v>
      </c>
      <c r="B29" s="2548" t="s">
        <v>2461</v>
      </c>
      <c r="C29" s="2548"/>
      <c r="D29" s="2548"/>
      <c r="E29" s="2548" t="s">
        <v>2521</v>
      </c>
      <c r="F29" s="2548"/>
      <c r="G29" s="2548"/>
    </row>
    <row r="30" spans="1:9">
      <c r="A30" s="2547">
        <v>2</v>
      </c>
      <c r="B30" s="2548" t="s">
        <v>2522</v>
      </c>
      <c r="C30" s="2548">
        <f>C27*D30</f>
        <v>0</v>
      </c>
      <c r="D30" s="2550">
        <v>0.2</v>
      </c>
      <c r="E30" s="2548" t="s">
        <v>2523</v>
      </c>
      <c r="F30" s="2548"/>
      <c r="G30" s="2548"/>
    </row>
    <row r="31" spans="1:9">
      <c r="A31" s="2547">
        <v>3</v>
      </c>
      <c r="B31" s="2548" t="s">
        <v>2524</v>
      </c>
      <c r="C31" s="2548">
        <f>C25*D31</f>
        <v>0</v>
      </c>
      <c r="D31" s="2550">
        <v>0.15</v>
      </c>
      <c r="E31" s="2548" t="s">
        <v>2525</v>
      </c>
      <c r="F31" s="2548"/>
      <c r="G31" s="2548"/>
    </row>
    <row r="32" spans="1:9">
      <c r="A32" s="2547">
        <v>4</v>
      </c>
      <c r="B32" s="2548" t="s">
        <v>2526</v>
      </c>
      <c r="C32" s="2548">
        <f>C27*D32</f>
        <v>0</v>
      </c>
      <c r="D32" s="2550">
        <v>0.05</v>
      </c>
      <c r="E32" s="3582"/>
      <c r="F32" s="3582"/>
      <c r="G32" s="3582"/>
    </row>
    <row r="33" spans="1:7" hidden="1">
      <c r="A33" s="3577" t="s">
        <v>2527</v>
      </c>
      <c r="B33" s="3578"/>
      <c r="C33" s="3578"/>
      <c r="D33" s="3579"/>
      <c r="E33" s="3580"/>
      <c r="F33" s="3580"/>
      <c r="G33" s="3580"/>
    </row>
    <row r="34" spans="1:7" hidden="1">
      <c r="A34" s="2551">
        <v>1</v>
      </c>
      <c r="B34" s="2548" t="s">
        <v>2528</v>
      </c>
      <c r="C34" s="2548"/>
      <c r="D34" s="2548"/>
      <c r="E34" s="3581"/>
      <c r="F34" s="3581"/>
      <c r="G34" s="3581"/>
    </row>
    <row r="35" spans="1:7" hidden="1">
      <c r="A35" s="2551">
        <v>2</v>
      </c>
      <c r="B35" s="2548" t="s">
        <v>2529</v>
      </c>
      <c r="C35" s="2548"/>
      <c r="D35" s="2548"/>
      <c r="E35" s="3581"/>
      <c r="F35" s="3581"/>
      <c r="G35" s="3581"/>
    </row>
    <row r="36" spans="1:7" hidden="1">
      <c r="A36" s="2551">
        <v>3</v>
      </c>
      <c r="B36" s="2548" t="s">
        <v>2530</v>
      </c>
      <c r="C36" s="2548"/>
      <c r="D36" s="2548"/>
      <c r="E36" s="3581"/>
      <c r="F36" s="3581"/>
      <c r="G36" s="3581"/>
    </row>
    <row r="37" spans="1:7" hidden="1">
      <c r="A37" s="2551">
        <v>4</v>
      </c>
      <c r="B37" s="2548" t="s">
        <v>2531</v>
      </c>
      <c r="C37" s="2548"/>
      <c r="D37" s="2548"/>
      <c r="E37" s="3581"/>
      <c r="F37" s="3581"/>
      <c r="G37" s="3581"/>
    </row>
    <row r="38" spans="1:7" hidden="1">
      <c r="A38" s="3577" t="s">
        <v>2532</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467</v>
      </c>
      <c r="B2" s="422">
        <f ca="1">C23</f>
        <v>5434</v>
      </c>
      <c r="C2" s="2102"/>
      <c r="D2" s="2102"/>
      <c r="E2" s="2102"/>
      <c r="F2" s="2102"/>
      <c r="G2" s="2102"/>
    </row>
    <row r="3" spans="1:25" s="2053" customFormat="1" ht="18" customHeight="1">
      <c r="A3" s="1373" t="s">
        <v>1685</v>
      </c>
      <c r="B3" s="422">
        <f ca="1">ROUND(B2*10000/'数据-汇总表'!E3,0)</f>
        <v>329</v>
      </c>
      <c r="C3" s="2102"/>
      <c r="D3" s="2102"/>
      <c r="E3" s="2102"/>
      <c r="F3" s="2102"/>
      <c r="G3" s="2102"/>
    </row>
    <row r="4" spans="1:25" s="2053" customFormat="1" ht="18" customHeight="1">
      <c r="A4" s="423" t="s">
        <v>468</v>
      </c>
      <c r="B4" s="424">
        <f ca="1">ROUND(B2*10000/'数据-汇总表'!D3,0)</f>
        <v>782</v>
      </c>
      <c r="C4" s="2055"/>
      <c r="D4" s="2102"/>
      <c r="E4" s="2102"/>
      <c r="F4" s="2102"/>
      <c r="G4" s="2102"/>
    </row>
    <row r="5" spans="1:25" s="2053" customFormat="1" ht="18" customHeight="1" thickBot="1">
      <c r="A5" s="426"/>
      <c r="B5" s="427">
        <f ca="1">ROUND(B2/('数据-汇总表'!D3/666.67),0)</f>
        <v>52</v>
      </c>
      <c r="C5" s="428" t="s">
        <v>469</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5">
        <v>1</v>
      </c>
      <c r="B7" s="745" t="s">
        <v>609</v>
      </c>
      <c r="C7" s="746">
        <f>C8+C9</f>
        <v>0</v>
      </c>
      <c r="D7" s="746"/>
      <c r="E7" s="747"/>
      <c r="F7" s="747"/>
      <c r="G7" s="2495"/>
    </row>
    <row r="8" spans="1:25" s="2177" customFormat="1" ht="13.5" customHeight="1">
      <c r="A8" s="2485" t="s">
        <v>2441</v>
      </c>
      <c r="B8" s="2488" t="s">
        <v>2443</v>
      </c>
      <c r="C8" s="2489"/>
      <c r="D8" s="746"/>
      <c r="E8" s="747"/>
      <c r="F8" s="747"/>
      <c r="G8" s="748"/>
    </row>
    <row r="9" spans="1:25" s="2177" customFormat="1" ht="13.5" customHeight="1">
      <c r="A9" s="2485" t="s">
        <v>2442</v>
      </c>
      <c r="B9" s="2488" t="s">
        <v>2444</v>
      </c>
      <c r="C9" s="2489"/>
      <c r="D9" s="746"/>
      <c r="E9" s="747"/>
      <c r="F9" s="747"/>
      <c r="G9" s="748"/>
    </row>
    <row r="10" spans="1:25" s="2177" customFormat="1" ht="36">
      <c r="A10" s="2485">
        <v>2</v>
      </c>
      <c r="B10" s="745" t="s">
        <v>613</v>
      </c>
      <c r="C10" s="746">
        <f>C11+C14+C15</f>
        <v>5675</v>
      </c>
      <c r="D10" s="757">
        <f>'数据-汇总表'!E3</f>
        <v>165200.35999999996</v>
      </c>
      <c r="E10" s="746">
        <f>'数据-取费表'!B31</f>
        <v>0</v>
      </c>
      <c r="F10" s="758"/>
      <c r="G10" s="756" t="s">
        <v>614</v>
      </c>
    </row>
    <row r="11" spans="1:25" s="2177" customFormat="1" ht="13.5" customHeight="1">
      <c r="A11" s="2485" t="s">
        <v>2441</v>
      </c>
      <c r="B11" s="749" t="s">
        <v>610</v>
      </c>
      <c r="C11" s="750">
        <f>'数据-取费表'!B29</f>
        <v>5675</v>
      </c>
      <c r="D11" s="751"/>
      <c r="E11" s="750"/>
      <c r="F11" s="752"/>
      <c r="G11" s="2494" t="s">
        <v>2452</v>
      </c>
    </row>
    <row r="12" spans="1:25" s="2177" customFormat="1" ht="13.5" customHeight="1">
      <c r="A12" s="2492" t="s">
        <v>2449</v>
      </c>
      <c r="B12" s="753" t="s">
        <v>611</v>
      </c>
      <c r="C12" s="754">
        <f>ROUND(D12*E12/10000,0)</f>
        <v>1890</v>
      </c>
      <c r="D12" s="755">
        <f>'数据-汇总表'!E5</f>
        <v>65156.839999999946</v>
      </c>
      <c r="E12" s="754">
        <f>'数据-取费表'!B27</f>
        <v>290</v>
      </c>
      <c r="F12" s="752"/>
      <c r="G12" s="756"/>
    </row>
    <row r="13" spans="1:25" s="2177" customFormat="1" ht="13.5" customHeight="1">
      <c r="A13" s="2492" t="s">
        <v>2448</v>
      </c>
      <c r="B13" s="753" t="s">
        <v>612</v>
      </c>
      <c r="C13" s="754">
        <f>ROUND(D13*E13/10000,0)</f>
        <v>3201</v>
      </c>
      <c r="D13" s="755">
        <f>'数据-汇总表'!E6</f>
        <v>100043.52000000002</v>
      </c>
      <c r="E13" s="754">
        <f>'数据-取费表'!B28</f>
        <v>320</v>
      </c>
      <c r="F13" s="752"/>
      <c r="G13" s="756"/>
    </row>
    <row r="14" spans="1:25" s="2177" customFormat="1" ht="13.5" customHeight="1">
      <c r="A14" s="2485" t="s">
        <v>2442</v>
      </c>
      <c r="B14" s="2491" t="s">
        <v>2445</v>
      </c>
      <c r="C14" s="2489"/>
      <c r="D14" s="755"/>
      <c r="E14" s="754"/>
      <c r="F14" s="2490"/>
      <c r="G14" s="2493" t="s">
        <v>2450</v>
      </c>
    </row>
    <row r="15" spans="1:25" s="2177" customFormat="1" ht="13.5" customHeight="1">
      <c r="A15" s="2485" t="s">
        <v>2447</v>
      </c>
      <c r="B15" s="2491" t="s">
        <v>2446</v>
      </c>
      <c r="C15" s="2489"/>
      <c r="D15" s="755"/>
      <c r="E15" s="754"/>
      <c r="F15" s="2490"/>
      <c r="G15" s="2493" t="s">
        <v>2451</v>
      </c>
    </row>
    <row r="16" spans="1:25" s="2178" customFormat="1" ht="48">
      <c r="A16" s="2485">
        <v>3</v>
      </c>
      <c r="B16" s="745" t="s">
        <v>615</v>
      </c>
      <c r="C16" s="2489"/>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6">
        <v>4</v>
      </c>
      <c r="B17" s="745" t="s">
        <v>616</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6">
        <v>5</v>
      </c>
      <c r="B18" s="745" t="s">
        <v>617</v>
      </c>
      <c r="C18" s="746">
        <f>ROUND((C7+C10+C16)*F18,0)</f>
        <v>397</v>
      </c>
      <c r="D18" s="759"/>
      <c r="E18" s="760"/>
      <c r="F18" s="758">
        <f>'数据-取费表'!Q16</f>
        <v>7.0000000000000007E-2</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5">
        <v>6</v>
      </c>
      <c r="B19" s="745" t="s">
        <v>619</v>
      </c>
      <c r="C19" s="746">
        <f ca="1">C7+C10+C16+C17+C18</f>
        <v>6072</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5">
        <v>7</v>
      </c>
      <c r="B20" s="745" t="s">
        <v>621</v>
      </c>
      <c r="C20" s="746">
        <f ca="1">ROUND(C19*F20,0)</f>
        <v>0</v>
      </c>
      <c r="D20" s="757"/>
      <c r="E20" s="746"/>
      <c r="F20" s="1344"/>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5">
        <v>8</v>
      </c>
      <c r="B21" s="745" t="s">
        <v>623</v>
      </c>
      <c r="C21" s="746">
        <f ca="1">C19+C20</f>
        <v>6072</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5">
        <v>9</v>
      </c>
      <c r="B22" s="745" t="s">
        <v>625</v>
      </c>
      <c r="C22" s="746">
        <f ca="1">ROUND(C21*F22,0)</f>
        <v>5434</v>
      </c>
      <c r="D22" s="757"/>
      <c r="E22" s="746"/>
      <c r="F22" s="763">
        <f>'数据-取费表'!AP16</f>
        <v>0.89500000000000002</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7">
        <v>10</v>
      </c>
      <c r="B23" s="764" t="s">
        <v>627</v>
      </c>
      <c r="C23" s="765">
        <f ca="1">C22</f>
        <v>5434</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777</v>
      </c>
      <c r="C1" s="501" t="s">
        <v>720</v>
      </c>
      <c r="D1" s="846"/>
      <c r="E1" s="503"/>
      <c r="F1" s="2823"/>
      <c r="G1" s="1595" t="s">
        <v>721</v>
      </c>
      <c r="H1" s="503"/>
      <c r="I1" s="503"/>
      <c r="J1" s="503"/>
      <c r="K1" s="504"/>
      <c r="L1" s="1556"/>
      <c r="M1" s="1557"/>
      <c r="N1" s="1557"/>
      <c r="O1" s="1557"/>
      <c r="P1" s="2201"/>
      <c r="Q1" s="1558"/>
      <c r="R1" s="1558"/>
      <c r="S1" s="1558"/>
      <c r="T1" s="1558"/>
      <c r="U1" s="1558"/>
      <c r="V1" s="1558"/>
      <c r="W1" s="1558"/>
      <c r="X1" s="1558"/>
      <c r="Y1" s="1558"/>
      <c r="Z1" s="1558"/>
      <c r="AA1" s="1558"/>
      <c r="AB1" s="1558"/>
      <c r="AC1" s="1559"/>
    </row>
    <row r="2" spans="1:29" s="1331" customFormat="1" ht="28.5" customHeight="1">
      <c r="A2" s="420" t="s">
        <v>467</v>
      </c>
      <c r="B2" s="847" t="e">
        <f>ROUND(B3*D3/10000,0)</f>
        <v>#DIV/0!</v>
      </c>
      <c r="C2" s="2121"/>
      <c r="D2" s="2121"/>
      <c r="E2" s="2055"/>
      <c r="F2" s="2123"/>
      <c r="G2" s="2122"/>
      <c r="H2" s="2122"/>
      <c r="I2" s="2122"/>
      <c r="J2" s="2122"/>
      <c r="K2" s="2122"/>
      <c r="L2" s="2125"/>
      <c r="M2" s="2126"/>
      <c r="N2" s="2126"/>
      <c r="O2" s="2126"/>
      <c r="P2" s="2201"/>
      <c r="Q2" s="1558"/>
      <c r="R2" s="1558"/>
      <c r="S2" s="1558"/>
      <c r="T2" s="1558"/>
      <c r="U2" s="1558"/>
      <c r="V2" s="1558"/>
      <c r="W2" s="1558"/>
      <c r="X2" s="1558"/>
      <c r="Y2" s="1558"/>
      <c r="Z2" s="1558"/>
      <c r="AA2" s="1558"/>
      <c r="AB2" s="1558"/>
      <c r="AC2" s="1559"/>
    </row>
    <row r="3" spans="1:29" s="1331"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8"/>
      <c r="R3" s="1558"/>
      <c r="S3" s="1558"/>
      <c r="T3" s="1558"/>
      <c r="U3" s="1558"/>
      <c r="V3" s="1558"/>
      <c r="W3" s="1558"/>
      <c r="X3" s="1558"/>
      <c r="Y3" s="1558"/>
      <c r="Z3" s="1558"/>
      <c r="AA3" s="1558"/>
      <c r="AB3" s="1558"/>
      <c r="AC3" s="1559"/>
    </row>
    <row r="4" spans="1:29" ht="15">
      <c r="A4" s="509" t="s">
        <v>521</v>
      </c>
      <c r="B4" s="510"/>
      <c r="C4" s="3494" t="s">
        <v>522</v>
      </c>
      <c r="D4" s="3495"/>
      <c r="E4" s="3518" t="s">
        <v>523</v>
      </c>
      <c r="F4" s="3519"/>
      <c r="G4" s="3494" t="s">
        <v>524</v>
      </c>
      <c r="H4" s="3495"/>
      <c r="I4" s="3494" t="s">
        <v>525</v>
      </c>
      <c r="J4" s="3495"/>
      <c r="K4" s="511" t="s">
        <v>526</v>
      </c>
      <c r="L4" s="2127"/>
      <c r="M4" s="2128"/>
      <c r="N4" s="2128"/>
      <c r="O4" s="2128"/>
      <c r="P4" s="3598" t="s">
        <v>527</v>
      </c>
      <c r="Q4" s="3497"/>
      <c r="R4" s="3482" t="s">
        <v>523</v>
      </c>
      <c r="S4" s="3483"/>
      <c r="T4" s="3482" t="s">
        <v>524</v>
      </c>
      <c r="U4" s="3483"/>
      <c r="V4" s="3502" t="s">
        <v>525</v>
      </c>
      <c r="W4" s="3502"/>
      <c r="X4" s="1561"/>
      <c r="Y4" s="3482" t="s">
        <v>527</v>
      </c>
      <c r="Z4" s="3483"/>
      <c r="AA4" s="3477" t="s">
        <v>523</v>
      </c>
      <c r="AB4" s="3477" t="s">
        <v>524</v>
      </c>
      <c r="AC4" s="3477" t="s">
        <v>525</v>
      </c>
    </row>
    <row r="5" spans="1:29" ht="15">
      <c r="A5" s="512"/>
      <c r="B5" s="513"/>
      <c r="C5" s="3505" t="s">
        <v>2924</v>
      </c>
      <c r="D5" s="3506"/>
      <c r="E5" s="3520" t="s">
        <v>2925</v>
      </c>
      <c r="F5" s="3521"/>
      <c r="G5" s="3505" t="s">
        <v>2926</v>
      </c>
      <c r="H5" s="3506"/>
      <c r="I5" s="3505" t="s">
        <v>2927</v>
      </c>
      <c r="J5" s="3506"/>
      <c r="K5" s="511"/>
      <c r="L5" s="2127"/>
      <c r="M5" s="2128"/>
      <c r="N5" s="2128"/>
      <c r="O5" s="2128"/>
      <c r="P5" s="3599"/>
      <c r="Q5" s="3499"/>
      <c r="R5" s="3484"/>
      <c r="S5" s="3485"/>
      <c r="T5" s="3484"/>
      <c r="U5" s="3485"/>
      <c r="V5" s="3502"/>
      <c r="W5" s="3502"/>
      <c r="X5" s="1561"/>
      <c r="Y5" s="3484"/>
      <c r="Z5" s="3485"/>
      <c r="AA5" s="3478"/>
      <c r="AB5" s="3478"/>
      <c r="AC5" s="3478"/>
    </row>
    <row r="6" spans="1:29" ht="15.75" thickBot="1">
      <c r="A6" s="514"/>
      <c r="B6" s="515"/>
      <c r="C6" s="3503" t="s">
        <v>2928</v>
      </c>
      <c r="D6" s="3504"/>
      <c r="E6" s="3522" t="s">
        <v>2928</v>
      </c>
      <c r="F6" s="3523"/>
      <c r="G6" s="3503" t="s">
        <v>2928</v>
      </c>
      <c r="H6" s="3504"/>
      <c r="I6" s="3503" t="s">
        <v>2928</v>
      </c>
      <c r="J6" s="3504"/>
      <c r="K6" s="511" t="s">
        <v>528</v>
      </c>
      <c r="L6" s="2127"/>
      <c r="M6" s="2128"/>
      <c r="N6" s="2128"/>
      <c r="O6" s="2128"/>
      <c r="P6" s="3600"/>
      <c r="Q6" s="3501"/>
      <c r="R6" s="3484"/>
      <c r="S6" s="3485"/>
      <c r="T6" s="3486"/>
      <c r="U6" s="3487"/>
      <c r="V6" s="3502"/>
      <c r="W6" s="3502"/>
      <c r="X6" s="1561"/>
      <c r="Y6" s="3486"/>
      <c r="Z6" s="3487"/>
      <c r="AA6" s="3479"/>
      <c r="AB6" s="3479"/>
      <c r="AC6" s="3479"/>
    </row>
    <row r="7" spans="1:29" s="1215" customFormat="1" ht="15.75" thickBot="1">
      <c r="A7" s="2928"/>
      <c r="B7" s="2935" t="s">
        <v>529</v>
      </c>
      <c r="C7" s="516">
        <f>'数据-取费表'!B2</f>
        <v>43313</v>
      </c>
      <c r="D7" s="517">
        <v>100</v>
      </c>
      <c r="E7" s="518"/>
      <c r="F7" s="519">
        <f>SUMIF(59:59,YEAR(E7)&amp;"-"&amp;MONTH(E7),60:60)</f>
        <v>0</v>
      </c>
      <c r="G7" s="518"/>
      <c r="H7" s="517">
        <f>SUMIF(59:59,YEAR(G7)&amp;"-"&amp;MONTH(G7),60:60)</f>
        <v>0</v>
      </c>
      <c r="I7" s="518"/>
      <c r="J7" s="517">
        <f>SUMIF(59:59,YEAR(I7)&amp;"-"&amp;MONTH(I7),60:60)</f>
        <v>0</v>
      </c>
      <c r="K7" s="521"/>
      <c r="L7" s="2129"/>
      <c r="M7" s="2130"/>
      <c r="N7" s="2130"/>
      <c r="O7" s="2130"/>
      <c r="P7" s="3489" t="s">
        <v>530</v>
      </c>
      <c r="Q7" s="3489"/>
      <c r="R7" s="1562" t="s">
        <v>8</v>
      </c>
      <c r="S7" s="1563">
        <f t="shared" ref="S7:S15" si="0">F7</f>
        <v>0</v>
      </c>
      <c r="T7" s="1562" t="s">
        <v>8</v>
      </c>
      <c r="U7" s="1563">
        <f t="shared" ref="U7:U15" si="1">H7</f>
        <v>0</v>
      </c>
      <c r="V7" s="1562" t="s">
        <v>8</v>
      </c>
      <c r="W7" s="1563">
        <f t="shared" ref="W7:W15" si="2">J7</f>
        <v>0</v>
      </c>
      <c r="X7" s="1564"/>
      <c r="Y7" s="3480" t="s">
        <v>530</v>
      </c>
      <c r="Z7" s="3481"/>
      <c r="AA7" s="1565" t="e">
        <f>D7/F7</f>
        <v>#DIV/0!</v>
      </c>
      <c r="AB7" s="1565" t="e">
        <f>D7/H7</f>
        <v>#DIV/0!</v>
      </c>
      <c r="AC7" s="1565" t="e">
        <f>D7/J7</f>
        <v>#DIV/0!</v>
      </c>
    </row>
    <row r="8" spans="1:29" s="1215" customFormat="1" ht="15.75" thickBot="1">
      <c r="A8" s="2929"/>
      <c r="B8" s="2936"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489" t="s">
        <v>533</v>
      </c>
      <c r="Q8" s="3481"/>
      <c r="R8" s="1562" t="s">
        <v>8</v>
      </c>
      <c r="S8" s="1563">
        <f t="shared" si="0"/>
        <v>0</v>
      </c>
      <c r="T8" s="1562" t="s">
        <v>8</v>
      </c>
      <c r="U8" s="1563">
        <f t="shared" si="1"/>
        <v>0</v>
      </c>
      <c r="V8" s="1562" t="s">
        <v>8</v>
      </c>
      <c r="W8" s="1563">
        <f t="shared" si="2"/>
        <v>0</v>
      </c>
      <c r="X8" s="1564"/>
      <c r="Y8" s="3480" t="s">
        <v>533</v>
      </c>
      <c r="Z8" s="3481"/>
      <c r="AA8" s="1565" t="e">
        <f t="shared" ref="AA8:AA47" si="3">D8/F8</f>
        <v>#DIV/0!</v>
      </c>
      <c r="AB8" s="1565" t="e">
        <f t="shared" ref="AB8:AB47" si="4">D8/H8</f>
        <v>#DIV/0!</v>
      </c>
      <c r="AC8" s="1565" t="e">
        <f t="shared" ref="AC8:AC47" si="5">D8/J8</f>
        <v>#DIV/0!</v>
      </c>
    </row>
    <row r="9" spans="1:29" s="1215" customFormat="1" ht="15">
      <c r="A9" s="2930"/>
      <c r="B9" s="2937" t="s">
        <v>2757</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488" t="s">
        <v>535</v>
      </c>
      <c r="Q9" s="1146" t="str">
        <f t="shared" ref="Q9:Q15" si="6">B9</f>
        <v>用途</v>
      </c>
      <c r="R9" s="1562" t="s">
        <v>8</v>
      </c>
      <c r="S9" s="1563">
        <f t="shared" si="0"/>
        <v>100</v>
      </c>
      <c r="T9" s="1562" t="s">
        <v>8</v>
      </c>
      <c r="U9" s="1563">
        <f t="shared" si="1"/>
        <v>100</v>
      </c>
      <c r="V9" s="1562" t="s">
        <v>8</v>
      </c>
      <c r="W9" s="1563">
        <f t="shared" si="2"/>
        <v>100</v>
      </c>
      <c r="X9" s="1564"/>
      <c r="Y9" s="3445"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488"/>
      <c r="Q10" s="1146" t="str">
        <f t="shared" si="6"/>
        <v>土地使用年限（年）</v>
      </c>
      <c r="R10" s="1562" t="s">
        <v>8</v>
      </c>
      <c r="S10" s="1563">
        <f t="shared" si="0"/>
        <v>100</v>
      </c>
      <c r="T10" s="1562" t="s">
        <v>8</v>
      </c>
      <c r="U10" s="1563">
        <f t="shared" si="1"/>
        <v>100</v>
      </c>
      <c r="V10" s="1562" t="s">
        <v>8</v>
      </c>
      <c r="W10" s="1563">
        <f t="shared" si="2"/>
        <v>100</v>
      </c>
      <c r="X10" s="1564"/>
      <c r="Y10" s="3445"/>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488"/>
      <c r="Q11" s="1146" t="str">
        <f t="shared" si="6"/>
        <v>容积率</v>
      </c>
      <c r="R11" s="1562" t="s">
        <v>8</v>
      </c>
      <c r="S11" s="1563" t="e">
        <f t="shared" si="0"/>
        <v>#N/A</v>
      </c>
      <c r="T11" s="1562" t="s">
        <v>8</v>
      </c>
      <c r="U11" s="1563" t="e">
        <f t="shared" si="1"/>
        <v>#N/A</v>
      </c>
      <c r="V11" s="1562" t="s">
        <v>8</v>
      </c>
      <c r="W11" s="1563" t="e">
        <f t="shared" si="2"/>
        <v>#N/A</v>
      </c>
      <c r="X11" s="1564"/>
      <c r="Y11" s="3445"/>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488"/>
      <c r="Q12" s="1146">
        <f t="shared" si="6"/>
        <v>111</v>
      </c>
      <c r="R12" s="1562" t="s">
        <v>8</v>
      </c>
      <c r="S12" s="1563">
        <f t="shared" si="0"/>
        <v>100</v>
      </c>
      <c r="T12" s="1562" t="s">
        <v>8</v>
      </c>
      <c r="U12" s="1563">
        <f t="shared" si="1"/>
        <v>100</v>
      </c>
      <c r="V12" s="1562" t="s">
        <v>8</v>
      </c>
      <c r="W12" s="1563">
        <f t="shared" si="2"/>
        <v>100</v>
      </c>
      <c r="X12" s="1564"/>
      <c r="Y12" s="3445"/>
      <c r="Z12" s="1145">
        <f t="shared" si="7"/>
        <v>111</v>
      </c>
      <c r="AA12" s="1565">
        <f>D12/F12</f>
        <v>1</v>
      </c>
      <c r="AB12" s="1565">
        <f>D12/H12</f>
        <v>1</v>
      </c>
      <c r="AC12" s="1565">
        <f>D12/J12</f>
        <v>1</v>
      </c>
    </row>
    <row r="13" spans="1:29" ht="15">
      <c r="A13" s="2933"/>
      <c r="B13" s="2939">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488"/>
      <c r="Q13" s="1146">
        <f t="shared" si="6"/>
        <v>111</v>
      </c>
      <c r="R13" s="1562" t="s">
        <v>8</v>
      </c>
      <c r="S13" s="1563">
        <f t="shared" si="0"/>
        <v>100</v>
      </c>
      <c r="T13" s="1562" t="s">
        <v>8</v>
      </c>
      <c r="U13" s="1563">
        <f t="shared" si="1"/>
        <v>100</v>
      </c>
      <c r="V13" s="1562" t="s">
        <v>8</v>
      </c>
      <c r="W13" s="1563">
        <f t="shared" si="2"/>
        <v>100</v>
      </c>
      <c r="X13" s="1564"/>
      <c r="Y13" s="3445"/>
      <c r="Z13" s="1145">
        <f t="shared" si="7"/>
        <v>111</v>
      </c>
      <c r="AA13" s="1565">
        <f t="shared" si="3"/>
        <v>1</v>
      </c>
      <c r="AB13" s="1565">
        <f t="shared" si="4"/>
        <v>1</v>
      </c>
      <c r="AC13" s="1565">
        <f t="shared" si="5"/>
        <v>1</v>
      </c>
    </row>
    <row r="14" spans="1:29" ht="15.75" thickBot="1">
      <c r="A14" s="2934"/>
      <c r="B14" s="2940">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488"/>
      <c r="Q14" s="1146">
        <f t="shared" si="6"/>
        <v>111</v>
      </c>
      <c r="R14" s="1562" t="s">
        <v>8</v>
      </c>
      <c r="S14" s="1563">
        <f t="shared" si="0"/>
        <v>100</v>
      </c>
      <c r="T14" s="1562" t="s">
        <v>8</v>
      </c>
      <c r="U14" s="1563">
        <f t="shared" si="1"/>
        <v>100</v>
      </c>
      <c r="V14" s="1562" t="s">
        <v>8</v>
      </c>
      <c r="W14" s="1563">
        <f t="shared" si="2"/>
        <v>100</v>
      </c>
      <c r="X14" s="1564"/>
      <c r="Y14" s="3445"/>
      <c r="Z14" s="1145">
        <f t="shared" si="7"/>
        <v>111</v>
      </c>
      <c r="AA14" s="1565">
        <f t="shared" si="3"/>
        <v>1</v>
      </c>
      <c r="AB14" s="1565">
        <f t="shared" si="4"/>
        <v>1</v>
      </c>
      <c r="AC14" s="1565">
        <f t="shared" si="5"/>
        <v>1</v>
      </c>
    </row>
    <row r="15" spans="1:29" ht="15">
      <c r="A15" s="2926" t="s">
        <v>2755</v>
      </c>
      <c r="B15" s="544" t="s">
        <v>542</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490" t="s">
        <v>540</v>
      </c>
      <c r="Q15" s="1566" t="str">
        <f t="shared" si="6"/>
        <v>办公集聚程度</v>
      </c>
      <c r="R15" s="1567" t="s">
        <v>8</v>
      </c>
      <c r="S15" s="1568">
        <f t="shared" si="0"/>
        <v>100</v>
      </c>
      <c r="T15" s="1567" t="s">
        <v>8</v>
      </c>
      <c r="U15" s="1568">
        <f t="shared" si="1"/>
        <v>100</v>
      </c>
      <c r="V15" s="1567" t="s">
        <v>8</v>
      </c>
      <c r="W15" s="1568">
        <f t="shared" si="2"/>
        <v>100</v>
      </c>
      <c r="X15" s="1561"/>
      <c r="Y15" s="3490" t="s">
        <v>540</v>
      </c>
      <c r="Z15" s="1569" t="str">
        <f t="shared" si="7"/>
        <v>办公集聚程度</v>
      </c>
      <c r="AA15" s="1570">
        <f t="shared" si="3"/>
        <v>1</v>
      </c>
      <c r="AB15" s="1570">
        <f t="shared" si="4"/>
        <v>1</v>
      </c>
      <c r="AC15" s="1570">
        <f t="shared" si="5"/>
        <v>1</v>
      </c>
    </row>
    <row r="16" spans="1:29" ht="15">
      <c r="A16" s="529"/>
      <c r="B16" s="550"/>
      <c r="C16" s="551"/>
      <c r="D16" s="552"/>
      <c r="E16" s="573"/>
      <c r="F16" s="552"/>
      <c r="G16" s="551"/>
      <c r="H16" s="556"/>
      <c r="I16" s="573"/>
      <c r="J16" s="552"/>
      <c r="K16" s="896"/>
      <c r="L16" s="2136"/>
      <c r="M16" s="2128"/>
      <c r="N16" s="2128"/>
      <c r="O16" s="2128"/>
      <c r="P16" s="3491"/>
      <c r="Q16" s="1566"/>
      <c r="R16" s="1567"/>
      <c r="S16" s="1568"/>
      <c r="T16" s="1567"/>
      <c r="U16" s="1568"/>
      <c r="V16" s="1567"/>
      <c r="W16" s="1568"/>
      <c r="X16" s="1561"/>
      <c r="Y16" s="3491"/>
      <c r="Z16" s="1569"/>
      <c r="AA16" s="1570">
        <v>1</v>
      </c>
      <c r="AB16" s="1570">
        <v>1</v>
      </c>
      <c r="AC16" s="1570">
        <v>1</v>
      </c>
    </row>
    <row r="17" spans="1:29" ht="57">
      <c r="A17" s="529"/>
      <c r="B17" s="557" t="s">
        <v>296</v>
      </c>
      <c r="C17" s="570" t="str">
        <f>估价对象房地状况!C6</f>
        <v>750、804、909，路网密度一般，停车便捷程度一般，一般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491"/>
      <c r="Q17" s="1566" t="str">
        <f>B17</f>
        <v>交通便捷度</v>
      </c>
      <c r="R17" s="1567" t="s">
        <v>8</v>
      </c>
      <c r="S17" s="1568">
        <f>F17</f>
        <v>100</v>
      </c>
      <c r="T17" s="1567" t="s">
        <v>8</v>
      </c>
      <c r="U17" s="1568">
        <f>H17</f>
        <v>100</v>
      </c>
      <c r="V17" s="1567" t="s">
        <v>8</v>
      </c>
      <c r="W17" s="1568">
        <f>J17</f>
        <v>100</v>
      </c>
      <c r="X17" s="1561"/>
      <c r="Y17" s="3491"/>
      <c r="Z17" s="1569" t="str">
        <f>Q17</f>
        <v>交通便捷度</v>
      </c>
      <c r="AA17" s="1570">
        <f t="shared" si="3"/>
        <v>1</v>
      </c>
      <c r="AB17" s="1570">
        <f t="shared" si="4"/>
        <v>1</v>
      </c>
      <c r="AC17" s="1570">
        <f t="shared" si="5"/>
        <v>1</v>
      </c>
    </row>
    <row r="18" spans="1:29" ht="15">
      <c r="A18" s="529"/>
      <c r="B18" s="563"/>
      <c r="C18" s="564"/>
      <c r="D18" s="556"/>
      <c r="E18" s="566"/>
      <c r="F18" s="556"/>
      <c r="G18" s="565"/>
      <c r="H18" s="552"/>
      <c r="I18" s="565"/>
      <c r="J18" s="552"/>
      <c r="K18" s="896"/>
      <c r="L18" s="2136"/>
      <c r="M18" s="2128"/>
      <c r="N18" s="2128"/>
      <c r="O18" s="2128"/>
      <c r="P18" s="3491"/>
      <c r="Q18" s="1566"/>
      <c r="R18" s="1567"/>
      <c r="S18" s="1568"/>
      <c r="T18" s="1567"/>
      <c r="U18" s="1568"/>
      <c r="V18" s="1567"/>
      <c r="W18" s="1568"/>
      <c r="X18" s="1561"/>
      <c r="Y18" s="3491"/>
      <c r="Z18" s="1569"/>
      <c r="AA18" s="1570">
        <v>1</v>
      </c>
      <c r="AB18" s="1570">
        <v>1</v>
      </c>
      <c r="AC18" s="1570">
        <v>1</v>
      </c>
    </row>
    <row r="19" spans="1:29" ht="15">
      <c r="A19" s="529"/>
      <c r="B19" s="2619" t="s">
        <v>2547</v>
      </c>
      <c r="C19" s="570" t="str">
        <f>估价对象房地状况!C7</f>
        <v>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491"/>
      <c r="Q19" s="1566" t="str">
        <f>B19</f>
        <v>公共配套设施</v>
      </c>
      <c r="R19" s="1567" t="s">
        <v>8</v>
      </c>
      <c r="S19" s="1568">
        <f>F19</f>
        <v>100</v>
      </c>
      <c r="T19" s="1567" t="s">
        <v>8</v>
      </c>
      <c r="U19" s="1568">
        <f>H19</f>
        <v>100</v>
      </c>
      <c r="V19" s="1567" t="s">
        <v>8</v>
      </c>
      <c r="W19" s="1568">
        <f>J19</f>
        <v>100</v>
      </c>
      <c r="X19" s="1561"/>
      <c r="Y19" s="3491"/>
      <c r="Z19" s="1569" t="str">
        <f>Q19</f>
        <v>公共配套设施</v>
      </c>
      <c r="AA19" s="1570">
        <f t="shared" si="3"/>
        <v>1</v>
      </c>
      <c r="AB19" s="1570">
        <f t="shared" si="4"/>
        <v>1</v>
      </c>
      <c r="AC19" s="1570">
        <f t="shared" si="5"/>
        <v>1</v>
      </c>
    </row>
    <row r="20" spans="1:29" ht="15">
      <c r="A20" s="529"/>
      <c r="B20" s="563"/>
      <c r="C20" s="551"/>
      <c r="D20" s="552"/>
      <c r="E20" s="555"/>
      <c r="F20" s="552"/>
      <c r="G20" s="553"/>
      <c r="H20" s="552"/>
      <c r="I20" s="553"/>
      <c r="J20" s="552"/>
      <c r="K20" s="896"/>
      <c r="L20" s="2136"/>
      <c r="M20" s="2128"/>
      <c r="N20" s="2128"/>
      <c r="O20" s="2128"/>
      <c r="P20" s="3491"/>
      <c r="Q20" s="1566"/>
      <c r="R20" s="1567"/>
      <c r="S20" s="1568"/>
      <c r="T20" s="1567"/>
      <c r="U20" s="1568"/>
      <c r="V20" s="1567"/>
      <c r="W20" s="1568"/>
      <c r="X20" s="1561"/>
      <c r="Y20" s="3491"/>
      <c r="Z20" s="1569"/>
      <c r="AA20" s="1570">
        <v>1</v>
      </c>
      <c r="AB20" s="1570">
        <v>1</v>
      </c>
      <c r="AC20" s="1570">
        <v>1</v>
      </c>
    </row>
    <row r="21" spans="1:29" ht="15">
      <c r="A21" s="529"/>
      <c r="B21" s="2607" t="s">
        <v>2559</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491"/>
      <c r="Q21" s="2595" t="str">
        <f>B21</f>
        <v>基础设施水平</v>
      </c>
      <c r="R21" s="1567" t="s">
        <v>8</v>
      </c>
      <c r="S21" s="1568">
        <f>F21</f>
        <v>100</v>
      </c>
      <c r="T21" s="1567" t="s">
        <v>8</v>
      </c>
      <c r="U21" s="1568">
        <f>H21</f>
        <v>100</v>
      </c>
      <c r="V21" s="1567" t="s">
        <v>8</v>
      </c>
      <c r="W21" s="1568">
        <f>J21</f>
        <v>100</v>
      </c>
      <c r="X21" s="2597"/>
      <c r="Y21" s="3491"/>
      <c r="Z21" s="2596" t="str">
        <f>Q21</f>
        <v>基础设施水平</v>
      </c>
      <c r="AA21" s="1570">
        <f t="shared" ref="AA21" si="8">D21/F21</f>
        <v>1</v>
      </c>
      <c r="AB21" s="1570">
        <f t="shared" ref="AB21" si="9">D21/H21</f>
        <v>1</v>
      </c>
      <c r="AC21" s="1570">
        <f t="shared" ref="AC21" si="10">D21/J21</f>
        <v>1</v>
      </c>
    </row>
    <row r="22" spans="1:29" ht="15">
      <c r="A22" s="529"/>
      <c r="B22" s="575"/>
      <c r="C22" s="564"/>
      <c r="D22" s="552"/>
      <c r="E22" s="573"/>
      <c r="F22" s="552"/>
      <c r="G22" s="551"/>
      <c r="H22" s="552"/>
      <c r="I22" s="551"/>
      <c r="J22" s="552"/>
      <c r="K22" s="2618"/>
      <c r="L22" s="2136"/>
      <c r="M22" s="2128"/>
      <c r="N22" s="2128"/>
      <c r="O22" s="2128"/>
      <c r="P22" s="3491"/>
      <c r="Q22" s="2595"/>
      <c r="R22" s="1567"/>
      <c r="S22" s="1568"/>
      <c r="T22" s="1567"/>
      <c r="U22" s="1568"/>
      <c r="V22" s="1567"/>
      <c r="W22" s="1568"/>
      <c r="X22" s="2597"/>
      <c r="Y22" s="3491"/>
      <c r="Z22" s="2596"/>
      <c r="AA22" s="1570">
        <v>1</v>
      </c>
      <c r="AB22" s="1570">
        <v>1</v>
      </c>
      <c r="AC22" s="1570">
        <v>1</v>
      </c>
    </row>
    <row r="23" spans="1:29" ht="28.5">
      <c r="A23" s="529"/>
      <c r="B23" s="557" t="s">
        <v>778</v>
      </c>
      <c r="C23" s="570" t="str">
        <f>估价对象房地状况!C9</f>
        <v>有公园，无人文，一般</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491"/>
      <c r="Q23" s="1566" t="str">
        <f>B23</f>
        <v>环境质量</v>
      </c>
      <c r="R23" s="1567" t="s">
        <v>8</v>
      </c>
      <c r="S23" s="1568">
        <f>F23</f>
        <v>100</v>
      </c>
      <c r="T23" s="1567" t="s">
        <v>8</v>
      </c>
      <c r="U23" s="1568">
        <f>H23</f>
        <v>100</v>
      </c>
      <c r="V23" s="1567" t="s">
        <v>8</v>
      </c>
      <c r="W23" s="1568">
        <f>J23</f>
        <v>100</v>
      </c>
      <c r="X23" s="1561"/>
      <c r="Y23" s="3491"/>
      <c r="Z23" s="1569" t="str">
        <f>Q23</f>
        <v>环境质量</v>
      </c>
      <c r="AA23" s="1570">
        <f t="shared" si="3"/>
        <v>1</v>
      </c>
      <c r="AB23" s="1570">
        <f t="shared" si="4"/>
        <v>1</v>
      </c>
      <c r="AC23" s="1570">
        <f t="shared" si="5"/>
        <v>1</v>
      </c>
    </row>
    <row r="24" spans="1:29" ht="15">
      <c r="A24" s="529"/>
      <c r="B24" s="575"/>
      <c r="C24" s="551"/>
      <c r="D24" s="552"/>
      <c r="E24" s="555"/>
      <c r="F24" s="552"/>
      <c r="G24" s="553"/>
      <c r="H24" s="552"/>
      <c r="I24" s="553"/>
      <c r="J24" s="552"/>
      <c r="K24" s="896"/>
      <c r="L24" s="2136"/>
      <c r="M24" s="2128"/>
      <c r="N24" s="2128"/>
      <c r="O24" s="2128"/>
      <c r="P24" s="3491"/>
      <c r="Q24" s="1566"/>
      <c r="R24" s="1567"/>
      <c r="S24" s="1568"/>
      <c r="T24" s="1567"/>
      <c r="U24" s="1568"/>
      <c r="V24" s="1567"/>
      <c r="W24" s="1568"/>
      <c r="X24" s="1561"/>
      <c r="Y24" s="3491"/>
      <c r="Z24" s="1569"/>
      <c r="AA24" s="1570">
        <v>1</v>
      </c>
      <c r="AB24" s="1570">
        <v>1</v>
      </c>
      <c r="AC24" s="1570">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491"/>
      <c r="Q25" s="1566" t="str">
        <f>B25</f>
        <v>毗邻道路的类型与等级</v>
      </c>
      <c r="R25" s="1567" t="s">
        <v>8</v>
      </c>
      <c r="S25" s="1568">
        <f>F25</f>
        <v>100</v>
      </c>
      <c r="T25" s="1567" t="s">
        <v>8</v>
      </c>
      <c r="U25" s="1568">
        <f>H25</f>
        <v>100</v>
      </c>
      <c r="V25" s="1567" t="s">
        <v>8</v>
      </c>
      <c r="W25" s="1568">
        <f>J25</f>
        <v>100</v>
      </c>
      <c r="X25" s="1561"/>
      <c r="Y25" s="3491"/>
      <c r="Z25" s="1569" t="str">
        <f>Q25</f>
        <v>毗邻道路的类型与等级</v>
      </c>
      <c r="AA25" s="1570">
        <f t="shared" si="3"/>
        <v>1</v>
      </c>
      <c r="AB25" s="1570">
        <f t="shared" si="4"/>
        <v>1</v>
      </c>
      <c r="AC25" s="1570">
        <f t="shared" si="5"/>
        <v>1</v>
      </c>
    </row>
    <row r="26" spans="1:29" ht="15">
      <c r="A26" s="512"/>
      <c r="B26" s="563"/>
      <c r="C26" s="577"/>
      <c r="D26" s="537"/>
      <c r="E26" s="580"/>
      <c r="F26" s="537"/>
      <c r="G26" s="577"/>
      <c r="H26" s="537"/>
      <c r="I26" s="580"/>
      <c r="J26" s="537"/>
      <c r="K26" s="896"/>
      <c r="L26" s="2136"/>
      <c r="M26" s="2128"/>
      <c r="N26" s="2128"/>
      <c r="O26" s="2128"/>
      <c r="P26" s="3491"/>
      <c r="Q26" s="1566"/>
      <c r="R26" s="1567"/>
      <c r="S26" s="1568"/>
      <c r="T26" s="1567"/>
      <c r="U26" s="1568"/>
      <c r="V26" s="1567"/>
      <c r="W26" s="1568"/>
      <c r="X26" s="1561"/>
      <c r="Y26" s="3491"/>
      <c r="Z26" s="1569"/>
      <c r="AA26" s="1570">
        <v>1</v>
      </c>
      <c r="AB26" s="1570">
        <v>1</v>
      </c>
      <c r="AC26" s="1570">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491"/>
      <c r="Q27" s="1566" t="str">
        <f t="shared" ref="Q27:Q47" si="11">B27</f>
        <v>楼层</v>
      </c>
      <c r="R27" s="1567" t="s">
        <v>8</v>
      </c>
      <c r="S27" s="1568">
        <f>F27</f>
        <v>100</v>
      </c>
      <c r="T27" s="1567" t="s">
        <v>8</v>
      </c>
      <c r="U27" s="1568">
        <f>H27</f>
        <v>100</v>
      </c>
      <c r="V27" s="1567" t="s">
        <v>8</v>
      </c>
      <c r="W27" s="1568">
        <f>J27</f>
        <v>100</v>
      </c>
      <c r="X27" s="1561"/>
      <c r="Y27" s="3491"/>
      <c r="Z27" s="1569" t="str">
        <f>Q27</f>
        <v>楼层</v>
      </c>
      <c r="AA27" s="1570">
        <f t="shared" si="3"/>
        <v>1</v>
      </c>
      <c r="AB27" s="1570">
        <f t="shared" si="4"/>
        <v>1</v>
      </c>
      <c r="AC27" s="1570">
        <f t="shared" si="5"/>
        <v>1</v>
      </c>
    </row>
    <row r="28" spans="1:29" s="1215"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491"/>
      <c r="Q28" s="1146" t="str">
        <f t="shared" si="11"/>
        <v>朝向</v>
      </c>
      <c r="R28" s="1562" t="s">
        <v>8</v>
      </c>
      <c r="S28" s="1563">
        <f>F28</f>
        <v>100</v>
      </c>
      <c r="T28" s="1562" t="s">
        <v>8</v>
      </c>
      <c r="U28" s="1563">
        <f>H28</f>
        <v>100</v>
      </c>
      <c r="V28" s="1562" t="s">
        <v>8</v>
      </c>
      <c r="W28" s="1563">
        <f>J28</f>
        <v>100</v>
      </c>
      <c r="X28" s="1564"/>
      <c r="Y28" s="3491"/>
      <c r="Z28" s="1145" t="str">
        <f>Q28</f>
        <v>朝向</v>
      </c>
      <c r="AA28" s="1570">
        <f>D28/F28</f>
        <v>1</v>
      </c>
      <c r="AB28" s="1570">
        <f>D28/H28</f>
        <v>1</v>
      </c>
      <c r="AC28" s="157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491"/>
      <c r="Q29" s="1566">
        <f t="shared" si="11"/>
        <v>111</v>
      </c>
      <c r="R29" s="1567" t="s">
        <v>8</v>
      </c>
      <c r="S29" s="1568">
        <f t="shared" ref="S29:S47" si="12">F29</f>
        <v>100</v>
      </c>
      <c r="T29" s="1567" t="s">
        <v>8</v>
      </c>
      <c r="U29" s="1568">
        <f t="shared" ref="U29:U47" si="13">H29</f>
        <v>100</v>
      </c>
      <c r="V29" s="1567" t="s">
        <v>8</v>
      </c>
      <c r="W29" s="1568">
        <f t="shared" ref="W29:W47" si="14">J29</f>
        <v>100</v>
      </c>
      <c r="X29" s="1561"/>
      <c r="Y29" s="3491"/>
      <c r="Z29" s="1569">
        <f t="shared" ref="Z29:Z47" si="15">Q29</f>
        <v>111</v>
      </c>
      <c r="AA29" s="1570">
        <f t="shared" si="3"/>
        <v>1</v>
      </c>
      <c r="AB29" s="1570">
        <f t="shared" si="4"/>
        <v>1</v>
      </c>
      <c r="AC29" s="157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491"/>
      <c r="Q30" s="1566">
        <f t="shared" si="11"/>
        <v>111</v>
      </c>
      <c r="R30" s="1567" t="s">
        <v>8</v>
      </c>
      <c r="S30" s="1568">
        <f t="shared" si="12"/>
        <v>100</v>
      </c>
      <c r="T30" s="1567" t="s">
        <v>8</v>
      </c>
      <c r="U30" s="1568">
        <f t="shared" si="13"/>
        <v>100</v>
      </c>
      <c r="V30" s="1567" t="s">
        <v>8</v>
      </c>
      <c r="W30" s="1568">
        <f t="shared" si="14"/>
        <v>100</v>
      </c>
      <c r="X30" s="1561"/>
      <c r="Y30" s="3491"/>
      <c r="Z30" s="1569">
        <f t="shared" si="15"/>
        <v>111</v>
      </c>
      <c r="AA30" s="1570">
        <f t="shared" si="3"/>
        <v>1</v>
      </c>
      <c r="AB30" s="1570">
        <f t="shared" si="4"/>
        <v>1</v>
      </c>
      <c r="AC30" s="157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491"/>
      <c r="Q31" s="1566">
        <f t="shared" si="11"/>
        <v>111</v>
      </c>
      <c r="R31" s="1567" t="s">
        <v>8</v>
      </c>
      <c r="S31" s="1568">
        <f t="shared" si="12"/>
        <v>100</v>
      </c>
      <c r="T31" s="1567" t="s">
        <v>8</v>
      </c>
      <c r="U31" s="1568">
        <f t="shared" si="13"/>
        <v>100</v>
      </c>
      <c r="V31" s="1567" t="s">
        <v>8</v>
      </c>
      <c r="W31" s="1568">
        <f t="shared" si="14"/>
        <v>100</v>
      </c>
      <c r="X31" s="1561"/>
      <c r="Y31" s="3491"/>
      <c r="Z31" s="1569">
        <f t="shared" si="15"/>
        <v>111</v>
      </c>
      <c r="AA31" s="1570">
        <f t="shared" si="3"/>
        <v>1</v>
      </c>
      <c r="AB31" s="1570">
        <f t="shared" si="4"/>
        <v>1</v>
      </c>
      <c r="AC31" s="157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491"/>
      <c r="Q32" s="1566">
        <f t="shared" si="11"/>
        <v>111</v>
      </c>
      <c r="R32" s="1567" t="s">
        <v>8</v>
      </c>
      <c r="S32" s="1568">
        <f t="shared" si="12"/>
        <v>100</v>
      </c>
      <c r="T32" s="1567" t="s">
        <v>8</v>
      </c>
      <c r="U32" s="1568">
        <f t="shared" si="13"/>
        <v>100</v>
      </c>
      <c r="V32" s="1567" t="s">
        <v>8</v>
      </c>
      <c r="W32" s="1568">
        <f t="shared" si="14"/>
        <v>100</v>
      </c>
      <c r="X32" s="1561"/>
      <c r="Y32" s="3491"/>
      <c r="Z32" s="1569">
        <f t="shared" si="15"/>
        <v>111</v>
      </c>
      <c r="AA32" s="1570">
        <f t="shared" si="3"/>
        <v>1</v>
      </c>
      <c r="AB32" s="1570">
        <f t="shared" si="4"/>
        <v>1</v>
      </c>
      <c r="AC32" s="1570">
        <f t="shared" si="5"/>
        <v>1</v>
      </c>
    </row>
    <row r="33" spans="1:29" ht="15">
      <c r="A33" s="2923" t="s">
        <v>2756</v>
      </c>
      <c r="B33" s="171"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492" t="s">
        <v>550</v>
      </c>
      <c r="Q33" s="1566" t="str">
        <f t="shared" si="11"/>
        <v>建筑类型</v>
      </c>
      <c r="R33" s="1567" t="s">
        <v>8</v>
      </c>
      <c r="S33" s="1568">
        <f t="shared" si="12"/>
        <v>100</v>
      </c>
      <c r="T33" s="1567" t="s">
        <v>8</v>
      </c>
      <c r="U33" s="1568">
        <f t="shared" si="13"/>
        <v>100</v>
      </c>
      <c r="V33" s="1567" t="s">
        <v>8</v>
      </c>
      <c r="W33" s="1568">
        <f t="shared" si="14"/>
        <v>100</v>
      </c>
      <c r="X33" s="1561"/>
      <c r="Y33" s="3493" t="s">
        <v>550</v>
      </c>
      <c r="Z33" s="1569" t="str">
        <f t="shared" si="15"/>
        <v>建筑类型</v>
      </c>
      <c r="AA33" s="1570">
        <f t="shared" si="3"/>
        <v>1</v>
      </c>
      <c r="AB33" s="1570">
        <f t="shared" si="4"/>
        <v>1</v>
      </c>
      <c r="AC33" s="1570">
        <f t="shared" si="5"/>
        <v>1</v>
      </c>
    </row>
    <row r="34" spans="1:29" s="1334"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493"/>
      <c r="Q34" s="1599" t="str">
        <f t="shared" si="11"/>
        <v>项目建筑规模</v>
      </c>
      <c r="R34" s="1571" t="s">
        <v>8</v>
      </c>
      <c r="S34" s="1572" t="e">
        <f t="shared" si="12"/>
        <v>#N/A</v>
      </c>
      <c r="T34" s="1571" t="s">
        <v>8</v>
      </c>
      <c r="U34" s="1572" t="e">
        <f t="shared" si="13"/>
        <v>#N/A</v>
      </c>
      <c r="V34" s="1571" t="s">
        <v>8</v>
      </c>
      <c r="W34" s="1572" t="e">
        <f t="shared" si="14"/>
        <v>#N/A</v>
      </c>
      <c r="X34" s="1573"/>
      <c r="Y34" s="3493"/>
      <c r="Z34" s="1574" t="str">
        <f t="shared" si="15"/>
        <v>项目建筑规模</v>
      </c>
      <c r="AA34" s="1570" t="e">
        <f t="shared" si="3"/>
        <v>#N/A</v>
      </c>
      <c r="AB34" s="1570" t="e">
        <f t="shared" si="4"/>
        <v>#N/A</v>
      </c>
      <c r="AC34" s="1570"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493"/>
      <c r="Q35" s="1566" t="str">
        <f t="shared" si="11"/>
        <v>建筑结构</v>
      </c>
      <c r="R35" s="1567" t="s">
        <v>8</v>
      </c>
      <c r="S35" s="1568">
        <f t="shared" si="12"/>
        <v>100</v>
      </c>
      <c r="T35" s="1567" t="s">
        <v>8</v>
      </c>
      <c r="U35" s="1568">
        <f t="shared" si="13"/>
        <v>100</v>
      </c>
      <c r="V35" s="1567" t="s">
        <v>8</v>
      </c>
      <c r="W35" s="1568">
        <f t="shared" si="14"/>
        <v>100</v>
      </c>
      <c r="X35" s="1561"/>
      <c r="Y35" s="3493"/>
      <c r="Z35" s="1569" t="str">
        <f t="shared" si="15"/>
        <v>建筑结构</v>
      </c>
      <c r="AA35" s="1570">
        <f t="shared" si="3"/>
        <v>1</v>
      </c>
      <c r="AB35" s="1570">
        <f t="shared" si="4"/>
        <v>1</v>
      </c>
      <c r="AC35" s="1570">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493"/>
      <c r="Q36" s="1566" t="str">
        <f t="shared" si="11"/>
        <v>公共部分装修</v>
      </c>
      <c r="R36" s="1567" t="s">
        <v>8</v>
      </c>
      <c r="S36" s="1568">
        <f t="shared" si="12"/>
        <v>100</v>
      </c>
      <c r="T36" s="1567" t="s">
        <v>8</v>
      </c>
      <c r="U36" s="1568">
        <f t="shared" si="13"/>
        <v>100</v>
      </c>
      <c r="V36" s="1567" t="s">
        <v>8</v>
      </c>
      <c r="W36" s="1568">
        <f t="shared" si="14"/>
        <v>100</v>
      </c>
      <c r="X36" s="1561"/>
      <c r="Y36" s="3493"/>
      <c r="Z36" s="1569" t="str">
        <f t="shared" si="15"/>
        <v>公共部分装修</v>
      </c>
      <c r="AA36" s="1570">
        <f t="shared" si="3"/>
        <v>1</v>
      </c>
      <c r="AB36" s="1570">
        <f t="shared" si="4"/>
        <v>1</v>
      </c>
      <c r="AC36" s="1570">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493"/>
      <c r="Q37" s="1566" t="str">
        <f t="shared" si="11"/>
        <v>成新度</v>
      </c>
      <c r="R37" s="1567" t="s">
        <v>8</v>
      </c>
      <c r="S37" s="1568" t="e">
        <f t="shared" si="12"/>
        <v>#N/A</v>
      </c>
      <c r="T37" s="1567" t="s">
        <v>8</v>
      </c>
      <c r="U37" s="1568" t="e">
        <f t="shared" si="13"/>
        <v>#N/A</v>
      </c>
      <c r="V37" s="1567" t="s">
        <v>8</v>
      </c>
      <c r="W37" s="1568" t="e">
        <f t="shared" si="14"/>
        <v>#N/A</v>
      </c>
      <c r="X37" s="1561"/>
      <c r="Y37" s="3493"/>
      <c r="Z37" s="1569" t="str">
        <f t="shared" si="15"/>
        <v>成新度</v>
      </c>
      <c r="AA37" s="1570" t="e">
        <f t="shared" si="3"/>
        <v>#N/A</v>
      </c>
      <c r="AB37" s="1570" t="e">
        <f t="shared" si="4"/>
        <v>#N/A</v>
      </c>
      <c r="AC37" s="1570" t="e">
        <f t="shared" si="5"/>
        <v>#N/A</v>
      </c>
    </row>
    <row r="38" spans="1:29" s="1215"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493"/>
      <c r="Q38" s="1146" t="str">
        <f t="shared" si="11"/>
        <v>写字楼等级</v>
      </c>
      <c r="R38" s="1562" t="s">
        <v>8</v>
      </c>
      <c r="S38" s="1563">
        <f t="shared" si="12"/>
        <v>100</v>
      </c>
      <c r="T38" s="1562" t="s">
        <v>8</v>
      </c>
      <c r="U38" s="1563">
        <f t="shared" si="13"/>
        <v>100</v>
      </c>
      <c r="V38" s="1562" t="s">
        <v>8</v>
      </c>
      <c r="W38" s="1563">
        <f t="shared" si="14"/>
        <v>100</v>
      </c>
      <c r="X38" s="1564"/>
      <c r="Y38" s="3493"/>
      <c r="Z38" s="1145" t="str">
        <f t="shared" si="15"/>
        <v>写字楼等级</v>
      </c>
      <c r="AA38" s="1565">
        <f t="shared" si="3"/>
        <v>1</v>
      </c>
      <c r="AB38" s="1565">
        <f t="shared" si="4"/>
        <v>1</v>
      </c>
      <c r="AC38" s="1565">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493" t="s">
        <v>550</v>
      </c>
      <c r="Q39" s="1566" t="str">
        <f t="shared" si="11"/>
        <v>物业管理</v>
      </c>
      <c r="R39" s="1567" t="s">
        <v>8</v>
      </c>
      <c r="S39" s="1568">
        <f t="shared" si="12"/>
        <v>100</v>
      </c>
      <c r="T39" s="1567" t="s">
        <v>8</v>
      </c>
      <c r="U39" s="1568">
        <f t="shared" si="13"/>
        <v>100</v>
      </c>
      <c r="V39" s="1567" t="s">
        <v>8</v>
      </c>
      <c r="W39" s="1568">
        <f t="shared" si="14"/>
        <v>100</v>
      </c>
      <c r="X39" s="1561"/>
      <c r="Y39" s="3493" t="s">
        <v>550</v>
      </c>
      <c r="Z39" s="1569" t="str">
        <f t="shared" si="15"/>
        <v>物业管理</v>
      </c>
      <c r="AA39" s="1570">
        <f t="shared" si="3"/>
        <v>1</v>
      </c>
      <c r="AB39" s="1570">
        <f t="shared" si="4"/>
        <v>1</v>
      </c>
      <c r="AC39" s="1570">
        <f t="shared" si="5"/>
        <v>1</v>
      </c>
    </row>
    <row r="40" spans="1:29" ht="15">
      <c r="A40" s="591"/>
      <c r="B40" s="1889" t="s">
        <v>2566</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493"/>
      <c r="Q40" s="1566" t="str">
        <f t="shared" si="11"/>
        <v>市政基础设施</v>
      </c>
      <c r="R40" s="1567" t="s">
        <v>8</v>
      </c>
      <c r="S40" s="1568">
        <f t="shared" si="12"/>
        <v>100</v>
      </c>
      <c r="T40" s="1567" t="s">
        <v>8</v>
      </c>
      <c r="U40" s="1568">
        <f t="shared" si="13"/>
        <v>100</v>
      </c>
      <c r="V40" s="1567" t="s">
        <v>8</v>
      </c>
      <c r="W40" s="1568">
        <f t="shared" si="14"/>
        <v>100</v>
      </c>
      <c r="X40" s="1561"/>
      <c r="Y40" s="3493"/>
      <c r="Z40" s="1569" t="str">
        <f t="shared" si="15"/>
        <v>市政基础设施</v>
      </c>
      <c r="AA40" s="1570">
        <f t="shared" si="3"/>
        <v>1</v>
      </c>
      <c r="AB40" s="1570">
        <f t="shared" si="4"/>
        <v>1</v>
      </c>
      <c r="AC40" s="1570">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493"/>
      <c r="Q41" s="1566" t="str">
        <f t="shared" si="11"/>
        <v>层高</v>
      </c>
      <c r="R41" s="1567" t="s">
        <v>8</v>
      </c>
      <c r="S41" s="1568">
        <f t="shared" si="12"/>
        <v>100</v>
      </c>
      <c r="T41" s="1567" t="s">
        <v>8</v>
      </c>
      <c r="U41" s="1568">
        <f t="shared" si="13"/>
        <v>100</v>
      </c>
      <c r="V41" s="1567" t="s">
        <v>8</v>
      </c>
      <c r="W41" s="1568">
        <f t="shared" si="14"/>
        <v>100</v>
      </c>
      <c r="X41" s="1561"/>
      <c r="Y41" s="3493"/>
      <c r="Z41" s="1569" t="str">
        <f t="shared" si="15"/>
        <v>层高</v>
      </c>
      <c r="AA41" s="1570">
        <f t="shared" si="3"/>
        <v>1</v>
      </c>
      <c r="AB41" s="1570">
        <f t="shared" si="4"/>
        <v>1</v>
      </c>
      <c r="AC41" s="1570">
        <f t="shared" si="5"/>
        <v>1</v>
      </c>
    </row>
    <row r="42" spans="1:29" s="1334"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493"/>
      <c r="Q42" s="1599" t="str">
        <f t="shared" si="11"/>
        <v>单套建筑面积</v>
      </c>
      <c r="R42" s="1571" t="s">
        <v>8</v>
      </c>
      <c r="S42" s="1572">
        <f t="shared" si="12"/>
        <v>100</v>
      </c>
      <c r="T42" s="1571" t="s">
        <v>8</v>
      </c>
      <c r="U42" s="1572">
        <f t="shared" si="13"/>
        <v>100</v>
      </c>
      <c r="V42" s="1571" t="s">
        <v>8</v>
      </c>
      <c r="W42" s="1572">
        <f t="shared" si="14"/>
        <v>100</v>
      </c>
      <c r="X42" s="1573"/>
      <c r="Y42" s="3493"/>
      <c r="Z42" s="1574" t="str">
        <f t="shared" si="15"/>
        <v>单套建筑面积</v>
      </c>
      <c r="AA42" s="1570">
        <f t="shared" si="3"/>
        <v>1</v>
      </c>
      <c r="AB42" s="1570">
        <f t="shared" si="4"/>
        <v>1</v>
      </c>
      <c r="AC42" s="1570">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493"/>
      <c r="Q43" s="1566" t="str">
        <f t="shared" si="11"/>
        <v>内部装修</v>
      </c>
      <c r="R43" s="1567" t="s">
        <v>8</v>
      </c>
      <c r="S43" s="1568">
        <f t="shared" si="12"/>
        <v>100</v>
      </c>
      <c r="T43" s="1567" t="s">
        <v>8</v>
      </c>
      <c r="U43" s="1568">
        <f t="shared" si="13"/>
        <v>100</v>
      </c>
      <c r="V43" s="1567" t="s">
        <v>8</v>
      </c>
      <c r="W43" s="1568">
        <f t="shared" si="14"/>
        <v>100</v>
      </c>
      <c r="X43" s="1561"/>
      <c r="Y43" s="3493"/>
      <c r="Z43" s="1569" t="str">
        <f t="shared" si="15"/>
        <v>内部装修</v>
      </c>
      <c r="AA43" s="1570">
        <f t="shared" si="3"/>
        <v>1</v>
      </c>
      <c r="AB43" s="1570">
        <f t="shared" si="4"/>
        <v>1</v>
      </c>
      <c r="AC43" s="1570">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493"/>
      <c r="Q44" s="1566" t="str">
        <f t="shared" si="11"/>
        <v>内部装修维护情况</v>
      </c>
      <c r="R44" s="1567" t="s">
        <v>8</v>
      </c>
      <c r="S44" s="1568">
        <f t="shared" si="12"/>
        <v>100</v>
      </c>
      <c r="T44" s="1567" t="s">
        <v>8</v>
      </c>
      <c r="U44" s="1568">
        <f t="shared" si="13"/>
        <v>100</v>
      </c>
      <c r="V44" s="1567" t="s">
        <v>8</v>
      </c>
      <c r="W44" s="1568">
        <f t="shared" si="14"/>
        <v>100</v>
      </c>
      <c r="X44" s="1561"/>
      <c r="Y44" s="3493"/>
      <c r="Z44" s="1569" t="str">
        <f t="shared" si="15"/>
        <v>内部装修维护情况</v>
      </c>
      <c r="AA44" s="1570">
        <f t="shared" si="3"/>
        <v>1</v>
      </c>
      <c r="AB44" s="1570">
        <f t="shared" si="4"/>
        <v>1</v>
      </c>
      <c r="AC44" s="1570">
        <f t="shared" si="5"/>
        <v>1</v>
      </c>
    </row>
    <row r="45" spans="1:29" s="1215"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493"/>
      <c r="Q45" s="1146">
        <f t="shared" si="11"/>
        <v>111</v>
      </c>
      <c r="R45" s="1562" t="s">
        <v>8</v>
      </c>
      <c r="S45" s="1563">
        <f t="shared" si="12"/>
        <v>100</v>
      </c>
      <c r="T45" s="1562" t="s">
        <v>8</v>
      </c>
      <c r="U45" s="1563">
        <f t="shared" si="13"/>
        <v>100</v>
      </c>
      <c r="V45" s="1562" t="s">
        <v>8</v>
      </c>
      <c r="W45" s="1563">
        <f t="shared" si="14"/>
        <v>100</v>
      </c>
      <c r="X45" s="1564"/>
      <c r="Y45" s="3493"/>
      <c r="Z45" s="1145">
        <f t="shared" si="15"/>
        <v>111</v>
      </c>
      <c r="AA45" s="1565">
        <f t="shared" si="3"/>
        <v>1</v>
      </c>
      <c r="AB45" s="1565">
        <f t="shared" si="4"/>
        <v>1</v>
      </c>
      <c r="AC45" s="156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493"/>
      <c r="Q46" s="1566">
        <f t="shared" si="11"/>
        <v>111</v>
      </c>
      <c r="R46" s="1567" t="s">
        <v>8</v>
      </c>
      <c r="S46" s="1568">
        <f t="shared" si="12"/>
        <v>100</v>
      </c>
      <c r="T46" s="1567" t="s">
        <v>8</v>
      </c>
      <c r="U46" s="1568">
        <f t="shared" si="13"/>
        <v>100</v>
      </c>
      <c r="V46" s="1567" t="s">
        <v>8</v>
      </c>
      <c r="W46" s="1568">
        <f t="shared" si="14"/>
        <v>100</v>
      </c>
      <c r="X46" s="1561"/>
      <c r="Y46" s="3493"/>
      <c r="Z46" s="1569">
        <f t="shared" si="15"/>
        <v>111</v>
      </c>
      <c r="AA46" s="1570">
        <f t="shared" si="3"/>
        <v>1</v>
      </c>
      <c r="AB46" s="1570">
        <f t="shared" si="4"/>
        <v>1</v>
      </c>
      <c r="AC46" s="157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568"/>
      <c r="Q47" s="1566">
        <f t="shared" si="11"/>
        <v>111</v>
      </c>
      <c r="R47" s="1567" t="s">
        <v>8</v>
      </c>
      <c r="S47" s="1568">
        <f t="shared" si="12"/>
        <v>100</v>
      </c>
      <c r="T47" s="1567" t="s">
        <v>8</v>
      </c>
      <c r="U47" s="1568">
        <f t="shared" si="13"/>
        <v>100</v>
      </c>
      <c r="V47" s="1567" t="s">
        <v>8</v>
      </c>
      <c r="W47" s="1568">
        <f t="shared" si="14"/>
        <v>100</v>
      </c>
      <c r="X47" s="1561"/>
      <c r="Y47" s="3568"/>
      <c r="Z47" s="1569">
        <f t="shared" si="15"/>
        <v>111</v>
      </c>
      <c r="AA47" s="1570">
        <f t="shared" si="3"/>
        <v>1</v>
      </c>
      <c r="AB47" s="1570">
        <f t="shared" si="4"/>
        <v>1</v>
      </c>
      <c r="AC47" s="1570">
        <f t="shared" si="5"/>
        <v>1</v>
      </c>
    </row>
    <row r="48" spans="1:29" ht="15">
      <c r="A48" s="604" t="s">
        <v>736</v>
      </c>
      <c r="B48" s="884"/>
      <c r="C48" s="2643" t="s">
        <v>1</v>
      </c>
      <c r="D48" s="2644"/>
      <c r="E48" s="2645"/>
      <c r="F48" s="2646"/>
      <c r="G48" s="2647"/>
      <c r="H48" s="2648"/>
      <c r="I48" s="2645"/>
      <c r="J48" s="2648"/>
      <c r="K48" s="1605"/>
      <c r="L48" s="2138"/>
      <c r="M48" s="2128"/>
      <c r="N48" s="2128"/>
      <c r="O48" s="2128"/>
      <c r="P48" s="3510" t="str">
        <f>A48</f>
        <v>成交单价（元/平方米）</v>
      </c>
      <c r="Q48" s="3488"/>
      <c r="R48" s="3567">
        <f>E48</f>
        <v>0</v>
      </c>
      <c r="S48" s="3567"/>
      <c r="T48" s="3567">
        <f>G48</f>
        <v>0</v>
      </c>
      <c r="U48" s="3567"/>
      <c r="V48" s="3567">
        <f>I48</f>
        <v>0</v>
      </c>
      <c r="W48" s="3567"/>
      <c r="X48" s="1553"/>
      <c r="Y48" s="1575"/>
      <c r="Z48" s="1553"/>
      <c r="AA48" s="1553"/>
      <c r="AB48" s="1553"/>
      <c r="AC48" s="1553"/>
    </row>
    <row r="49" spans="1:29" ht="15.75" thickBot="1">
      <c r="A49" s="612" t="s">
        <v>2761</v>
      </c>
      <c r="B49" s="885"/>
      <c r="C49" s="2649" t="e">
        <f>R50</f>
        <v>#DIV/0!</v>
      </c>
      <c r="D49" s="2650"/>
      <c r="E49" s="2651" t="e">
        <f>R49</f>
        <v>#DIV/0!</v>
      </c>
      <c r="F49" s="2651"/>
      <c r="G49" s="2649" t="e">
        <f>T49</f>
        <v>#DIV/0!</v>
      </c>
      <c r="H49" s="2650"/>
      <c r="I49" s="2651" t="e">
        <f>V49</f>
        <v>#DIV/0!</v>
      </c>
      <c r="J49" s="2650"/>
      <c r="K49" s="1606"/>
      <c r="L49" s="2138"/>
      <c r="M49" s="2128"/>
      <c r="N49" s="2128"/>
      <c r="O49" s="2128"/>
      <c r="P49" s="3510" t="str">
        <f>A49</f>
        <v>比较价格（元/平方米）</v>
      </c>
      <c r="Q49" s="3488"/>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53"/>
      <c r="Y49" s="1553"/>
      <c r="Z49" s="1553"/>
      <c r="AA49" s="1553"/>
      <c r="AB49" s="1553"/>
      <c r="AC49" s="1553"/>
    </row>
    <row r="50" spans="1:29" ht="15.75" thickBot="1">
      <c r="A50" s="618" t="s">
        <v>2930</v>
      </c>
      <c r="B50" s="619"/>
      <c r="C50" s="2652" t="e">
        <f>R50</f>
        <v>#DIV/0!</v>
      </c>
      <c r="D50" s="2652"/>
      <c r="E50" s="2652"/>
      <c r="F50" s="2652"/>
      <c r="G50" s="2652"/>
      <c r="H50" s="2652"/>
      <c r="I50" s="2652"/>
      <c r="J50" s="2652"/>
      <c r="K50" s="1607"/>
      <c r="L50" s="2138"/>
      <c r="M50" s="2128"/>
      <c r="N50" s="2128"/>
      <c r="O50" s="2128"/>
      <c r="P50" s="3601" t="str">
        <f>A50</f>
        <v>估价对象XX用房的比较价格（楼面单价，元/平方米）</v>
      </c>
      <c r="Q50" s="3510"/>
      <c r="R50" s="3566" t="e">
        <f>IF(F1="售价",ROUND(AVERAGE(R49:V49),0),ROUND(AVERAGE(R49:V49),1))</f>
        <v>#DIV/0!</v>
      </c>
      <c r="S50" s="3566"/>
      <c r="T50" s="3566"/>
      <c r="U50" s="3566"/>
      <c r="V50" s="3566"/>
      <c r="W50" s="3566"/>
      <c r="X50" s="1553"/>
      <c r="Y50" s="1553"/>
      <c r="Z50" s="1553"/>
      <c r="AA50" s="1553"/>
      <c r="AB50" s="1553"/>
      <c r="AC50" s="1553"/>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8" t="s">
        <v>574</v>
      </c>
      <c r="B58" s="1553"/>
      <c r="C58" s="1577"/>
      <c r="D58" s="1577"/>
      <c r="E58" s="1577"/>
      <c r="F58" s="1579"/>
      <c r="G58" s="1579"/>
      <c r="H58" s="1577"/>
      <c r="I58" s="1577"/>
      <c r="J58" s="1577"/>
      <c r="K58" s="1580"/>
      <c r="L58" s="1576"/>
      <c r="M58" s="1577"/>
      <c r="N58" s="1577"/>
      <c r="O58" s="1577"/>
      <c r="P58" s="2204"/>
      <c r="Q58" s="2152"/>
      <c r="R58" s="2139"/>
      <c r="S58" s="2139"/>
      <c r="T58" s="2139"/>
      <c r="U58" s="2139"/>
      <c r="V58" s="2139"/>
      <c r="W58" s="2139"/>
      <c r="X58" s="2139"/>
      <c r="Y58" s="2139"/>
      <c r="Z58" s="2139"/>
      <c r="AA58" s="2139"/>
      <c r="AB58" s="2139"/>
      <c r="AC58" s="2139"/>
    </row>
    <row r="59" spans="1:29" s="1342" customFormat="1" ht="15">
      <c r="A59" s="642" t="s">
        <v>529</v>
      </c>
      <c r="B59" s="643"/>
      <c r="C59" s="2818" t="str">
        <f>YEAR(C7)&amp;"-"&amp;MONTH(C7)</f>
        <v>2018-8</v>
      </c>
      <c r="D59" s="2820">
        <f>EDATE(C59,-1)</f>
        <v>43282</v>
      </c>
      <c r="E59" s="2820">
        <f t="shared" ref="E59:O59" si="16">EDATE(D59,-1)</f>
        <v>43252</v>
      </c>
      <c r="F59" s="2820">
        <f t="shared" si="16"/>
        <v>43221</v>
      </c>
      <c r="G59" s="2820">
        <f t="shared" si="16"/>
        <v>43191</v>
      </c>
      <c r="H59" s="2820">
        <f t="shared" si="16"/>
        <v>43160</v>
      </c>
      <c r="I59" s="2820">
        <f t="shared" si="16"/>
        <v>43132</v>
      </c>
      <c r="J59" s="2820">
        <f t="shared" si="16"/>
        <v>43101</v>
      </c>
      <c r="K59" s="2820">
        <f t="shared" si="16"/>
        <v>43070</v>
      </c>
      <c r="L59" s="2820">
        <f t="shared" si="16"/>
        <v>43040</v>
      </c>
      <c r="M59" s="2820">
        <f t="shared" si="16"/>
        <v>43009</v>
      </c>
      <c r="N59" s="2820">
        <f t="shared" si="16"/>
        <v>42979</v>
      </c>
      <c r="O59" s="2820">
        <f t="shared" si="16"/>
        <v>42948</v>
      </c>
      <c r="P59" s="2205"/>
      <c r="Q59" s="2155"/>
      <c r="R59" s="2155"/>
      <c r="S59" s="2155"/>
      <c r="T59" s="2155"/>
      <c r="U59" s="2155"/>
      <c r="V59" s="2155"/>
      <c r="W59" s="2155"/>
      <c r="X59" s="2155"/>
      <c r="Y59" s="2155"/>
      <c r="Z59" s="2155"/>
      <c r="AA59" s="2155"/>
      <c r="AB59" s="2155"/>
      <c r="AC59" s="2155"/>
    </row>
    <row r="60" spans="1:29" s="1215"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5"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5"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2558</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3" t="s">
        <v>2559</v>
      </c>
      <c r="C83" s="2614" t="s">
        <v>2560</v>
      </c>
      <c r="D83" s="2614" t="s">
        <v>2561</v>
      </c>
      <c r="E83" s="2614" t="s">
        <v>2562</v>
      </c>
      <c r="F83" s="2614" t="s">
        <v>2563</v>
      </c>
      <c r="G83" s="2614" t="s">
        <v>2564</v>
      </c>
      <c r="H83" s="671"/>
      <c r="I83" s="671"/>
      <c r="J83" s="671"/>
      <c r="K83" s="671"/>
      <c r="L83" s="671"/>
      <c r="M83" s="2617"/>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2557</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500" t="s">
        <v>788</v>
      </c>
      <c r="C1" s="501" t="s">
        <v>720</v>
      </c>
      <c r="D1" s="846"/>
      <c r="E1" s="503"/>
      <c r="F1" s="2823"/>
      <c r="G1" s="1595" t="s">
        <v>721</v>
      </c>
      <c r="H1" s="503"/>
      <c r="I1" s="503"/>
      <c r="J1" s="503"/>
      <c r="K1" s="504"/>
      <c r="L1" s="1556"/>
      <c r="M1" s="1557"/>
      <c r="N1" s="1557"/>
      <c r="O1" s="1557"/>
      <c r="P1" s="1558"/>
      <c r="Q1" s="1558"/>
      <c r="R1" s="1558"/>
      <c r="S1" s="1558"/>
      <c r="T1" s="1558"/>
      <c r="U1" s="1558"/>
      <c r="V1" s="1558"/>
      <c r="W1" s="1558"/>
      <c r="X1" s="1558"/>
      <c r="Y1" s="1558"/>
      <c r="Z1" s="1558"/>
      <c r="AA1" s="1558"/>
      <c r="AB1" s="1558"/>
      <c r="AC1" s="425"/>
    </row>
    <row r="2" spans="1:29" s="1331" customFormat="1" ht="28.5" customHeight="1">
      <c r="A2" s="420" t="s">
        <v>467</v>
      </c>
      <c r="B2" s="847" t="e">
        <f>ROUND(B3*D3/10000,0)</f>
        <v>#DIV/0!</v>
      </c>
      <c r="C2" s="2121"/>
      <c r="D2" s="2121"/>
      <c r="E2" s="2122"/>
      <c r="F2" s="2123"/>
      <c r="G2" s="2122"/>
      <c r="H2" s="2122"/>
      <c r="I2" s="2122"/>
      <c r="J2" s="2122"/>
      <c r="K2" s="2122"/>
      <c r="L2" s="2125"/>
      <c r="M2" s="2126"/>
      <c r="N2" s="2126"/>
      <c r="O2" s="2126"/>
      <c r="P2" s="1558"/>
      <c r="Q2" s="1558"/>
      <c r="R2" s="1558"/>
      <c r="S2" s="1558"/>
      <c r="T2" s="1558"/>
      <c r="U2" s="1558"/>
      <c r="V2" s="1558"/>
      <c r="W2" s="1558"/>
      <c r="X2" s="1558"/>
      <c r="Y2" s="1558"/>
      <c r="Z2" s="1558"/>
      <c r="AA2" s="1558"/>
      <c r="AB2" s="1558"/>
      <c r="AC2" s="425"/>
    </row>
    <row r="3" spans="1:29" s="1331"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521</v>
      </c>
      <c r="B4" s="510"/>
      <c r="C4" s="3494" t="s">
        <v>522</v>
      </c>
      <c r="D4" s="3495"/>
      <c r="E4" s="3518" t="s">
        <v>523</v>
      </c>
      <c r="F4" s="3519"/>
      <c r="G4" s="3494" t="s">
        <v>524</v>
      </c>
      <c r="H4" s="3495"/>
      <c r="I4" s="3494" t="s">
        <v>525</v>
      </c>
      <c r="J4" s="3495"/>
      <c r="K4" s="511" t="s">
        <v>526</v>
      </c>
      <c r="L4" s="2127"/>
      <c r="M4" s="2128"/>
      <c r="N4" s="2128"/>
      <c r="O4" s="2128"/>
      <c r="P4" s="3496" t="s">
        <v>527</v>
      </c>
      <c r="Q4" s="3497"/>
      <c r="R4" s="3482" t="s">
        <v>523</v>
      </c>
      <c r="S4" s="3483"/>
      <c r="T4" s="3482" t="s">
        <v>524</v>
      </c>
      <c r="U4" s="3483"/>
      <c r="V4" s="3502" t="s">
        <v>525</v>
      </c>
      <c r="W4" s="3502"/>
      <c r="X4" s="1561"/>
      <c r="Y4" s="3482" t="s">
        <v>527</v>
      </c>
      <c r="Z4" s="3483"/>
      <c r="AA4" s="3477" t="s">
        <v>523</v>
      </c>
      <c r="AB4" s="3478" t="s">
        <v>524</v>
      </c>
      <c r="AC4" s="3477" t="s">
        <v>525</v>
      </c>
    </row>
    <row r="5" spans="1:29" ht="15">
      <c r="A5" s="512"/>
      <c r="B5" s="513"/>
      <c r="C5" s="3505" t="s">
        <v>2924</v>
      </c>
      <c r="D5" s="3506"/>
      <c r="E5" s="3520" t="s">
        <v>2925</v>
      </c>
      <c r="F5" s="3521"/>
      <c r="G5" s="3505" t="s">
        <v>2926</v>
      </c>
      <c r="H5" s="3506"/>
      <c r="I5" s="3505" t="s">
        <v>2927</v>
      </c>
      <c r="J5" s="3506"/>
      <c r="K5" s="511"/>
      <c r="L5" s="2127"/>
      <c r="M5" s="2128"/>
      <c r="N5" s="2128"/>
      <c r="O5" s="2128"/>
      <c r="P5" s="3498"/>
      <c r="Q5" s="3499"/>
      <c r="R5" s="3484"/>
      <c r="S5" s="3485"/>
      <c r="T5" s="3484"/>
      <c r="U5" s="3485"/>
      <c r="V5" s="3502"/>
      <c r="W5" s="3502"/>
      <c r="X5" s="1561"/>
      <c r="Y5" s="3484"/>
      <c r="Z5" s="3485"/>
      <c r="AA5" s="3478"/>
      <c r="AB5" s="3478"/>
      <c r="AC5" s="3478"/>
    </row>
    <row r="6" spans="1:29" ht="15.75" thickBot="1">
      <c r="A6" s="514"/>
      <c r="B6" s="515"/>
      <c r="C6" s="3503" t="s">
        <v>2928</v>
      </c>
      <c r="D6" s="3504"/>
      <c r="E6" s="3522" t="s">
        <v>2928</v>
      </c>
      <c r="F6" s="3523"/>
      <c r="G6" s="3503" t="s">
        <v>2928</v>
      </c>
      <c r="H6" s="3504"/>
      <c r="I6" s="3503" t="s">
        <v>2928</v>
      </c>
      <c r="J6" s="3504"/>
      <c r="K6" s="511" t="s">
        <v>528</v>
      </c>
      <c r="L6" s="2127"/>
      <c r="M6" s="2128"/>
      <c r="N6" s="2128"/>
      <c r="O6" s="2128"/>
      <c r="P6" s="3500"/>
      <c r="Q6" s="3501"/>
      <c r="R6" s="3484"/>
      <c r="S6" s="3485"/>
      <c r="T6" s="3486"/>
      <c r="U6" s="3487"/>
      <c r="V6" s="3502"/>
      <c r="W6" s="3502"/>
      <c r="X6" s="1561"/>
      <c r="Y6" s="3486"/>
      <c r="Z6" s="3487"/>
      <c r="AA6" s="3479"/>
      <c r="AB6" s="3479"/>
      <c r="AC6" s="3479"/>
    </row>
    <row r="7" spans="1:29" s="1215" customFormat="1" ht="15.75" thickBot="1">
      <c r="A7" s="2928"/>
      <c r="B7" s="2935" t="s">
        <v>529</v>
      </c>
      <c r="C7" s="516">
        <f>'数据-取费表'!B2</f>
        <v>43313</v>
      </c>
      <c r="D7" s="517">
        <v>100</v>
      </c>
      <c r="E7" s="518"/>
      <c r="F7" s="519">
        <f>SUMIF(52:52,YEAR(E7)&amp;"-"&amp;MONTH(E7),53:53)</f>
        <v>0</v>
      </c>
      <c r="G7" s="518"/>
      <c r="H7" s="517">
        <f>SUMIF(52:52,YEAR(G7)&amp;"-"&amp;MONTH(G7),53:53)</f>
        <v>0</v>
      </c>
      <c r="I7" s="518"/>
      <c r="J7" s="517">
        <f>SUMIF(52:52,YEAR(I7)&amp;"-"&amp;MONTH(I7),53:53)</f>
        <v>0</v>
      </c>
      <c r="K7" s="521"/>
      <c r="L7" s="2129"/>
      <c r="M7" s="2130"/>
      <c r="N7" s="2130"/>
      <c r="O7" s="2130"/>
      <c r="P7" s="3480" t="s">
        <v>530</v>
      </c>
      <c r="Q7" s="3489"/>
      <c r="R7" s="1562" t="s">
        <v>8</v>
      </c>
      <c r="S7" s="1563">
        <f t="shared" ref="S7:S15" si="0">F7</f>
        <v>0</v>
      </c>
      <c r="T7" s="1562" t="s">
        <v>8</v>
      </c>
      <c r="U7" s="1563">
        <f t="shared" ref="U7:U15" si="1">H7</f>
        <v>0</v>
      </c>
      <c r="V7" s="1562" t="s">
        <v>8</v>
      </c>
      <c r="W7" s="1563">
        <f t="shared" ref="W7:W15" si="2">J7</f>
        <v>0</v>
      </c>
      <c r="X7" s="1564"/>
      <c r="Y7" s="3480" t="s">
        <v>530</v>
      </c>
      <c r="Z7" s="3481"/>
      <c r="AA7" s="1565" t="e">
        <f>D7/F7</f>
        <v>#DIV/0!</v>
      </c>
      <c r="AB7" s="1565" t="e">
        <f>D7/H7</f>
        <v>#DIV/0!</v>
      </c>
      <c r="AC7" s="1565" t="e">
        <f>D7/J7</f>
        <v>#DIV/0!</v>
      </c>
    </row>
    <row r="8" spans="1:29" s="1215" customFormat="1" ht="15.75" thickBot="1">
      <c r="A8" s="2929"/>
      <c r="B8" s="2936"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480" t="s">
        <v>533</v>
      </c>
      <c r="Q8" s="3481"/>
      <c r="R8" s="1562" t="s">
        <v>8</v>
      </c>
      <c r="S8" s="1563">
        <f t="shared" si="0"/>
        <v>0</v>
      </c>
      <c r="T8" s="1562" t="s">
        <v>8</v>
      </c>
      <c r="U8" s="1563">
        <f t="shared" si="1"/>
        <v>0</v>
      </c>
      <c r="V8" s="1562" t="s">
        <v>8</v>
      </c>
      <c r="W8" s="1563">
        <f t="shared" si="2"/>
        <v>0</v>
      </c>
      <c r="X8" s="1564"/>
      <c r="Y8" s="3480" t="s">
        <v>533</v>
      </c>
      <c r="Z8" s="3481"/>
      <c r="AA8" s="1565" t="e">
        <f t="shared" ref="AA8:AA40" si="3">D8/F8</f>
        <v>#DIV/0!</v>
      </c>
      <c r="AB8" s="1565" t="e">
        <f t="shared" ref="AB8:AB40" si="4">D8/H8</f>
        <v>#DIV/0!</v>
      </c>
      <c r="AC8" s="1565" t="e">
        <f t="shared" ref="AC8:AC40" si="5">D8/J8</f>
        <v>#DIV/0!</v>
      </c>
    </row>
    <row r="9" spans="1:29" s="1215" customFormat="1" ht="15">
      <c r="A9" s="2930"/>
      <c r="B9" s="2937" t="s">
        <v>2757</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488" t="s">
        <v>535</v>
      </c>
      <c r="Q9" s="1146" t="str">
        <f t="shared" ref="Q9:Q15" si="6">B9</f>
        <v>用途</v>
      </c>
      <c r="R9" s="1562" t="s">
        <v>8</v>
      </c>
      <c r="S9" s="1563">
        <f t="shared" si="0"/>
        <v>100</v>
      </c>
      <c r="T9" s="1562" t="s">
        <v>8</v>
      </c>
      <c r="U9" s="1563">
        <f t="shared" si="1"/>
        <v>100</v>
      </c>
      <c r="V9" s="1562" t="s">
        <v>8</v>
      </c>
      <c r="W9" s="1563">
        <f t="shared" si="2"/>
        <v>100</v>
      </c>
      <c r="X9" s="1564"/>
      <c r="Y9" s="3445" t="s">
        <v>536</v>
      </c>
      <c r="Z9" s="1145" t="str">
        <f t="shared" ref="Z9:Z15" si="7">Q9</f>
        <v>用途</v>
      </c>
      <c r="AA9" s="1565">
        <f t="shared" si="3"/>
        <v>1</v>
      </c>
      <c r="AB9" s="1565">
        <f t="shared" si="4"/>
        <v>1</v>
      </c>
      <c r="AC9" s="1565">
        <f t="shared" si="5"/>
        <v>1</v>
      </c>
    </row>
    <row r="10" spans="1:29" s="1333" customFormat="1" ht="27">
      <c r="A10" s="2931"/>
      <c r="B10" s="2936" t="s">
        <v>2758</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488"/>
      <c r="Q10" s="1146" t="str">
        <f t="shared" si="6"/>
        <v>土地使用年限（年）</v>
      </c>
      <c r="R10" s="1562" t="s">
        <v>8</v>
      </c>
      <c r="S10" s="1563">
        <f t="shared" si="0"/>
        <v>100</v>
      </c>
      <c r="T10" s="1562" t="s">
        <v>8</v>
      </c>
      <c r="U10" s="1563">
        <f t="shared" si="1"/>
        <v>100</v>
      </c>
      <c r="V10" s="1562" t="s">
        <v>8</v>
      </c>
      <c r="W10" s="1563">
        <f t="shared" si="2"/>
        <v>100</v>
      </c>
      <c r="X10" s="1564"/>
      <c r="Y10" s="3445"/>
      <c r="Z10" s="1145" t="str">
        <f t="shared" si="7"/>
        <v>土地使用年限（年）</v>
      </c>
      <c r="AA10" s="1565">
        <f t="shared" si="3"/>
        <v>1</v>
      </c>
      <c r="AB10" s="1565">
        <f t="shared" si="4"/>
        <v>1</v>
      </c>
      <c r="AC10" s="1565">
        <f t="shared" si="5"/>
        <v>1</v>
      </c>
    </row>
    <row r="11" spans="1:29" ht="15">
      <c r="A11" s="2932"/>
      <c r="B11" s="293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488"/>
      <c r="Q11" s="1146" t="str">
        <f t="shared" si="6"/>
        <v>容积率</v>
      </c>
      <c r="R11" s="1562" t="s">
        <v>8</v>
      </c>
      <c r="S11" s="1563" t="e">
        <f t="shared" si="0"/>
        <v>#N/A</v>
      </c>
      <c r="T11" s="1562" t="s">
        <v>8</v>
      </c>
      <c r="U11" s="1563" t="e">
        <f t="shared" si="1"/>
        <v>#N/A</v>
      </c>
      <c r="V11" s="1562" t="s">
        <v>8</v>
      </c>
      <c r="W11" s="1563" t="e">
        <f t="shared" si="2"/>
        <v>#N/A</v>
      </c>
      <c r="X11" s="1564"/>
      <c r="Y11" s="3445"/>
      <c r="Z11" s="1145" t="str">
        <f t="shared" si="7"/>
        <v>容积率</v>
      </c>
      <c r="AA11" s="1565" t="e">
        <f t="shared" si="3"/>
        <v>#N/A</v>
      </c>
      <c r="AB11" s="1565" t="e">
        <f t="shared" si="4"/>
        <v>#N/A</v>
      </c>
      <c r="AC11" s="1565" t="e">
        <f t="shared" si="5"/>
        <v>#N/A</v>
      </c>
    </row>
    <row r="12" spans="1:29" s="1215" customFormat="1" ht="15">
      <c r="A12" s="2933"/>
      <c r="B12" s="2939">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488"/>
      <c r="Q12" s="1146">
        <f t="shared" si="6"/>
        <v>111</v>
      </c>
      <c r="R12" s="1562" t="s">
        <v>8</v>
      </c>
      <c r="S12" s="1563">
        <f t="shared" si="0"/>
        <v>100</v>
      </c>
      <c r="T12" s="1562" t="s">
        <v>8</v>
      </c>
      <c r="U12" s="1563">
        <f t="shared" si="1"/>
        <v>100</v>
      </c>
      <c r="V12" s="1562" t="s">
        <v>8</v>
      </c>
      <c r="W12" s="1563">
        <f t="shared" si="2"/>
        <v>100</v>
      </c>
      <c r="X12" s="1564"/>
      <c r="Y12" s="3445"/>
      <c r="Z12" s="1145">
        <f t="shared" si="7"/>
        <v>111</v>
      </c>
      <c r="AA12" s="1565">
        <f>D12/F12</f>
        <v>1</v>
      </c>
      <c r="AB12" s="1565">
        <f>D12/H12</f>
        <v>1</v>
      </c>
      <c r="AC12" s="1565">
        <f>D12/J12</f>
        <v>1</v>
      </c>
    </row>
    <row r="13" spans="1:29" ht="15">
      <c r="A13" s="2933"/>
      <c r="B13" s="2939">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488"/>
      <c r="Q13" s="1146">
        <f t="shared" si="6"/>
        <v>111</v>
      </c>
      <c r="R13" s="1562" t="s">
        <v>8</v>
      </c>
      <c r="S13" s="1563">
        <f t="shared" si="0"/>
        <v>100</v>
      </c>
      <c r="T13" s="1562" t="s">
        <v>8</v>
      </c>
      <c r="U13" s="1563">
        <f t="shared" si="1"/>
        <v>100</v>
      </c>
      <c r="V13" s="1562" t="s">
        <v>8</v>
      </c>
      <c r="W13" s="1563">
        <f t="shared" si="2"/>
        <v>100</v>
      </c>
      <c r="X13" s="1564"/>
      <c r="Y13" s="3445"/>
      <c r="Z13" s="1145">
        <f t="shared" si="7"/>
        <v>111</v>
      </c>
      <c r="AA13" s="1565">
        <f t="shared" si="3"/>
        <v>1</v>
      </c>
      <c r="AB13" s="1565">
        <f t="shared" si="4"/>
        <v>1</v>
      </c>
      <c r="AC13" s="1565">
        <f t="shared" si="5"/>
        <v>1</v>
      </c>
    </row>
    <row r="14" spans="1:29" ht="15.75" thickBot="1">
      <c r="A14" s="2934"/>
      <c r="B14" s="2940">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488"/>
      <c r="Q14" s="1146">
        <f t="shared" si="6"/>
        <v>111</v>
      </c>
      <c r="R14" s="1562" t="s">
        <v>8</v>
      </c>
      <c r="S14" s="1563">
        <f t="shared" si="0"/>
        <v>100</v>
      </c>
      <c r="T14" s="1562" t="s">
        <v>8</v>
      </c>
      <c r="U14" s="1563">
        <f t="shared" si="1"/>
        <v>100</v>
      </c>
      <c r="V14" s="1562" t="s">
        <v>8</v>
      </c>
      <c r="W14" s="1563">
        <f t="shared" si="2"/>
        <v>100</v>
      </c>
      <c r="X14" s="1564"/>
      <c r="Y14" s="3445"/>
      <c r="Z14" s="1145">
        <f t="shared" si="7"/>
        <v>111</v>
      </c>
      <c r="AA14" s="1565">
        <f t="shared" si="3"/>
        <v>1</v>
      </c>
      <c r="AB14" s="1565">
        <f t="shared" si="4"/>
        <v>1</v>
      </c>
      <c r="AC14" s="1565">
        <f t="shared" si="5"/>
        <v>1</v>
      </c>
    </row>
    <row r="15" spans="1:29" ht="57">
      <c r="A15" s="2926" t="s">
        <v>2755</v>
      </c>
      <c r="B15" s="165"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490" t="s">
        <v>540</v>
      </c>
      <c r="Q15" s="1566" t="str">
        <f t="shared" si="6"/>
        <v>产业集聚程度</v>
      </c>
      <c r="R15" s="1567" t="s">
        <v>8</v>
      </c>
      <c r="S15" s="1568">
        <f t="shared" si="0"/>
        <v>100</v>
      </c>
      <c r="T15" s="1567" t="s">
        <v>8</v>
      </c>
      <c r="U15" s="1568">
        <f t="shared" si="1"/>
        <v>100</v>
      </c>
      <c r="V15" s="1567" t="s">
        <v>8</v>
      </c>
      <c r="W15" s="1568">
        <f t="shared" si="2"/>
        <v>100</v>
      </c>
      <c r="X15" s="1561"/>
      <c r="Y15" s="3490" t="s">
        <v>540</v>
      </c>
      <c r="Z15" s="1569" t="str">
        <f t="shared" si="7"/>
        <v>产业集聚程度</v>
      </c>
      <c r="AA15" s="1570">
        <f t="shared" si="3"/>
        <v>1</v>
      </c>
      <c r="AB15" s="1570">
        <f t="shared" si="4"/>
        <v>1</v>
      </c>
      <c r="AC15" s="1570">
        <f t="shared" si="5"/>
        <v>1</v>
      </c>
    </row>
    <row r="16" spans="1:29" ht="15">
      <c r="A16" s="529"/>
      <c r="B16" s="866"/>
      <c r="C16" s="573"/>
      <c r="D16" s="552"/>
      <c r="E16" s="573"/>
      <c r="F16" s="554"/>
      <c r="G16" s="573"/>
      <c r="H16" s="556"/>
      <c r="I16" s="573"/>
      <c r="J16" s="552"/>
      <c r="K16" s="896"/>
      <c r="L16" s="2136"/>
      <c r="M16" s="2128"/>
      <c r="N16" s="2128"/>
      <c r="O16" s="2135"/>
      <c r="P16" s="3491"/>
      <c r="Q16" s="1566"/>
      <c r="R16" s="1567"/>
      <c r="S16" s="1568"/>
      <c r="T16" s="1567"/>
      <c r="U16" s="1568"/>
      <c r="V16" s="1567"/>
      <c r="W16" s="1568"/>
      <c r="X16" s="1561"/>
      <c r="Y16" s="3491"/>
      <c r="Z16" s="1569"/>
      <c r="AA16" s="1570">
        <v>1</v>
      </c>
      <c r="AB16" s="1570">
        <v>1</v>
      </c>
      <c r="AC16" s="157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491"/>
      <c r="Q17" s="1566" t="str">
        <f>B17</f>
        <v>交通便捷度</v>
      </c>
      <c r="R17" s="1567" t="s">
        <v>8</v>
      </c>
      <c r="S17" s="1568">
        <f>F17</f>
        <v>100</v>
      </c>
      <c r="T17" s="1567" t="s">
        <v>8</v>
      </c>
      <c r="U17" s="1568">
        <f>H17</f>
        <v>100</v>
      </c>
      <c r="V17" s="1567" t="s">
        <v>8</v>
      </c>
      <c r="W17" s="1568">
        <f>J17</f>
        <v>100</v>
      </c>
      <c r="X17" s="1561"/>
      <c r="Y17" s="3491"/>
      <c r="Z17" s="1569" t="str">
        <f>Q17</f>
        <v>交通便捷度</v>
      </c>
      <c r="AA17" s="1570">
        <f t="shared" si="3"/>
        <v>1</v>
      </c>
      <c r="AB17" s="1570">
        <f t="shared" si="4"/>
        <v>1</v>
      </c>
      <c r="AC17" s="1570">
        <f t="shared" si="5"/>
        <v>1</v>
      </c>
    </row>
    <row r="18" spans="1:29" ht="15">
      <c r="A18" s="529"/>
      <c r="B18" s="592"/>
      <c r="C18" s="870"/>
      <c r="D18" s="556"/>
      <c r="E18" s="565"/>
      <c r="F18" s="560"/>
      <c r="G18" s="566"/>
      <c r="H18" s="552"/>
      <c r="I18" s="565"/>
      <c r="J18" s="552"/>
      <c r="K18" s="896"/>
      <c r="L18" s="2136"/>
      <c r="M18" s="2128"/>
      <c r="N18" s="2128"/>
      <c r="O18" s="2135"/>
      <c r="P18" s="3491"/>
      <c r="Q18" s="1566"/>
      <c r="R18" s="1567"/>
      <c r="S18" s="1568"/>
      <c r="T18" s="1567"/>
      <c r="U18" s="1568"/>
      <c r="V18" s="1567"/>
      <c r="W18" s="1568"/>
      <c r="X18" s="1561"/>
      <c r="Y18" s="3491"/>
      <c r="Z18" s="1569"/>
      <c r="AA18" s="1570">
        <v>1</v>
      </c>
      <c r="AB18" s="1570">
        <v>1</v>
      </c>
      <c r="AC18" s="1570">
        <v>1</v>
      </c>
    </row>
    <row r="19" spans="1:29" ht="42.75">
      <c r="A19" s="529"/>
      <c r="B19" s="2619" t="s">
        <v>2547</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491"/>
      <c r="Q19" s="1566" t="str">
        <f>B19</f>
        <v>公共配套设施</v>
      </c>
      <c r="R19" s="1567" t="s">
        <v>8</v>
      </c>
      <c r="S19" s="1568">
        <f>F19</f>
        <v>100</v>
      </c>
      <c r="T19" s="1567" t="s">
        <v>8</v>
      </c>
      <c r="U19" s="1568">
        <f>H19</f>
        <v>100</v>
      </c>
      <c r="V19" s="1567" t="s">
        <v>8</v>
      </c>
      <c r="W19" s="1568">
        <f>J19</f>
        <v>100</v>
      </c>
      <c r="X19" s="1561"/>
      <c r="Y19" s="3491"/>
      <c r="Z19" s="1569" t="str">
        <f>Q19</f>
        <v>公共配套设施</v>
      </c>
      <c r="AA19" s="1570">
        <f t="shared" si="3"/>
        <v>1</v>
      </c>
      <c r="AB19" s="1570">
        <f t="shared" si="4"/>
        <v>1</v>
      </c>
      <c r="AC19" s="1570">
        <f t="shared" si="5"/>
        <v>1</v>
      </c>
    </row>
    <row r="20" spans="1:29" ht="15">
      <c r="A20" s="529"/>
      <c r="B20" s="563"/>
      <c r="C20" s="573"/>
      <c r="D20" s="552"/>
      <c r="E20" s="553"/>
      <c r="F20" s="554"/>
      <c r="G20" s="555"/>
      <c r="H20" s="552"/>
      <c r="I20" s="553"/>
      <c r="J20" s="552"/>
      <c r="K20" s="896"/>
      <c r="L20" s="2136"/>
      <c r="M20" s="2128"/>
      <c r="N20" s="2128"/>
      <c r="O20" s="2135"/>
      <c r="P20" s="3491"/>
      <c r="Q20" s="1566"/>
      <c r="R20" s="1567"/>
      <c r="S20" s="1568"/>
      <c r="T20" s="1567"/>
      <c r="U20" s="1568"/>
      <c r="V20" s="1567"/>
      <c r="W20" s="1568"/>
      <c r="X20" s="1561"/>
      <c r="Y20" s="3491"/>
      <c r="Z20" s="1569"/>
      <c r="AA20" s="1570">
        <v>1</v>
      </c>
      <c r="AB20" s="1570">
        <v>1</v>
      </c>
      <c r="AC20" s="1570">
        <v>1</v>
      </c>
    </row>
    <row r="21" spans="1:29" ht="28.5">
      <c r="A21" s="529"/>
      <c r="B21" s="2607" t="s">
        <v>2559</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491"/>
      <c r="Q21" s="2595" t="str">
        <f>B21</f>
        <v>基础设施水平</v>
      </c>
      <c r="R21" s="1567" t="s">
        <v>8</v>
      </c>
      <c r="S21" s="1568">
        <f>F21</f>
        <v>100</v>
      </c>
      <c r="T21" s="1567" t="s">
        <v>8</v>
      </c>
      <c r="U21" s="1568">
        <f>H21</f>
        <v>100</v>
      </c>
      <c r="V21" s="1567" t="s">
        <v>8</v>
      </c>
      <c r="W21" s="1568">
        <f>J21</f>
        <v>100</v>
      </c>
      <c r="X21" s="2597"/>
      <c r="Y21" s="3491"/>
      <c r="Z21" s="2596" t="str">
        <f>Q21</f>
        <v>基础设施水平</v>
      </c>
      <c r="AA21" s="1570">
        <f t="shared" ref="AA21" si="8">D21/F21</f>
        <v>1</v>
      </c>
      <c r="AB21" s="1570">
        <f t="shared" ref="AB21" si="9">D21/H21</f>
        <v>1</v>
      </c>
      <c r="AC21" s="1570">
        <f t="shared" ref="AC21" si="10">D21/J21</f>
        <v>1</v>
      </c>
    </row>
    <row r="22" spans="1:29" ht="15">
      <c r="A22" s="529"/>
      <c r="B22" s="575"/>
      <c r="C22" s="870"/>
      <c r="D22" s="552"/>
      <c r="E22" s="573"/>
      <c r="F22" s="554"/>
      <c r="G22" s="573"/>
      <c r="H22" s="552"/>
      <c r="I22" s="573"/>
      <c r="J22" s="552"/>
      <c r="K22" s="2618"/>
      <c r="L22" s="2136"/>
      <c r="M22" s="2128"/>
      <c r="N22" s="2128"/>
      <c r="O22" s="2135"/>
      <c r="P22" s="3491"/>
      <c r="Q22" s="2595"/>
      <c r="R22" s="1567"/>
      <c r="S22" s="1568"/>
      <c r="T22" s="1567"/>
      <c r="U22" s="1568"/>
      <c r="V22" s="1567"/>
      <c r="W22" s="1568"/>
      <c r="X22" s="2597"/>
      <c r="Y22" s="3491"/>
      <c r="Z22" s="2596"/>
      <c r="AA22" s="1570">
        <v>1</v>
      </c>
      <c r="AB22" s="1570">
        <v>1</v>
      </c>
      <c r="AC22" s="1570">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491"/>
      <c r="Q23" s="1566" t="str">
        <f>B23</f>
        <v>环境质量</v>
      </c>
      <c r="R23" s="1567" t="s">
        <v>8</v>
      </c>
      <c r="S23" s="1568">
        <f>F23</f>
        <v>100</v>
      </c>
      <c r="T23" s="1567" t="s">
        <v>8</v>
      </c>
      <c r="U23" s="1568">
        <f>H23</f>
        <v>100</v>
      </c>
      <c r="V23" s="1567" t="s">
        <v>8</v>
      </c>
      <c r="W23" s="1568">
        <f>J23</f>
        <v>100</v>
      </c>
      <c r="X23" s="1561"/>
      <c r="Y23" s="3491"/>
      <c r="Z23" s="1569" t="str">
        <f>Q23</f>
        <v>环境质量</v>
      </c>
      <c r="AA23" s="1570">
        <f t="shared" si="3"/>
        <v>1</v>
      </c>
      <c r="AB23" s="1570">
        <f t="shared" si="4"/>
        <v>1</v>
      </c>
      <c r="AC23" s="1570">
        <f t="shared" si="5"/>
        <v>1</v>
      </c>
    </row>
    <row r="24" spans="1:29" ht="15">
      <c r="A24" s="529"/>
      <c r="B24" s="919"/>
      <c r="C24" s="573"/>
      <c r="D24" s="552"/>
      <c r="E24" s="553"/>
      <c r="F24" s="554"/>
      <c r="G24" s="555"/>
      <c r="H24" s="552"/>
      <c r="I24" s="553"/>
      <c r="J24" s="552"/>
      <c r="K24" s="896"/>
      <c r="L24" s="2136"/>
      <c r="M24" s="2128"/>
      <c r="N24" s="2128"/>
      <c r="O24" s="2135"/>
      <c r="P24" s="3491"/>
      <c r="Q24" s="1566"/>
      <c r="R24" s="1567"/>
      <c r="S24" s="1568"/>
      <c r="T24" s="1567"/>
      <c r="U24" s="1568"/>
      <c r="V24" s="1567"/>
      <c r="W24" s="1568"/>
      <c r="X24" s="1561"/>
      <c r="Y24" s="3491"/>
      <c r="Z24" s="1569"/>
      <c r="AA24" s="1570">
        <v>1</v>
      </c>
      <c r="AB24" s="1570">
        <v>1</v>
      </c>
      <c r="AC24" s="157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491"/>
      <c r="Q25" s="1566">
        <f>B25</f>
        <v>111</v>
      </c>
      <c r="R25" s="1567" t="s">
        <v>8</v>
      </c>
      <c r="S25" s="1568">
        <f>F25</f>
        <v>100</v>
      </c>
      <c r="T25" s="1567" t="s">
        <v>8</v>
      </c>
      <c r="U25" s="1568">
        <f>H25</f>
        <v>100</v>
      </c>
      <c r="V25" s="1567" t="s">
        <v>8</v>
      </c>
      <c r="W25" s="1568">
        <f>J25</f>
        <v>100</v>
      </c>
      <c r="X25" s="1561"/>
      <c r="Y25" s="3491"/>
      <c r="Z25" s="1569">
        <f>Q25</f>
        <v>111</v>
      </c>
      <c r="AA25" s="1570">
        <f t="shared" si="3"/>
        <v>1</v>
      </c>
      <c r="AB25" s="1570">
        <f t="shared" si="4"/>
        <v>1</v>
      </c>
      <c r="AC25" s="157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491"/>
      <c r="Q26" s="1566">
        <f t="shared" ref="Q26:Q40" si="11">B26</f>
        <v>111</v>
      </c>
      <c r="R26" s="1567" t="s">
        <v>8</v>
      </c>
      <c r="S26" s="1568">
        <f>F26</f>
        <v>100</v>
      </c>
      <c r="T26" s="1567" t="s">
        <v>8</v>
      </c>
      <c r="U26" s="1568">
        <f>H26</f>
        <v>100</v>
      </c>
      <c r="V26" s="1567" t="s">
        <v>8</v>
      </c>
      <c r="W26" s="1568">
        <f>J26</f>
        <v>100</v>
      </c>
      <c r="X26" s="1561"/>
      <c r="Y26" s="3491"/>
      <c r="Z26" s="1569">
        <f>Q26</f>
        <v>111</v>
      </c>
      <c r="AA26" s="1570">
        <f t="shared" si="3"/>
        <v>1</v>
      </c>
      <c r="AB26" s="1570">
        <f t="shared" si="4"/>
        <v>1</v>
      </c>
      <c r="AC26" s="1570">
        <f t="shared" si="5"/>
        <v>1</v>
      </c>
    </row>
    <row r="27" spans="1:29" s="1215"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491"/>
      <c r="Q27" s="1146">
        <f t="shared" si="11"/>
        <v>111</v>
      </c>
      <c r="R27" s="1562" t="s">
        <v>8</v>
      </c>
      <c r="S27" s="1563">
        <f>F27</f>
        <v>100</v>
      </c>
      <c r="T27" s="1562" t="s">
        <v>8</v>
      </c>
      <c r="U27" s="1563">
        <f>H27</f>
        <v>100</v>
      </c>
      <c r="V27" s="1562" t="s">
        <v>8</v>
      </c>
      <c r="W27" s="1563">
        <f>J27</f>
        <v>100</v>
      </c>
      <c r="X27" s="1564"/>
      <c r="Y27" s="3491"/>
      <c r="Z27" s="1145">
        <f>Q27</f>
        <v>111</v>
      </c>
      <c r="AA27" s="1570">
        <f>D27/F27</f>
        <v>1</v>
      </c>
      <c r="AB27" s="1570">
        <f>D27/H27</f>
        <v>1</v>
      </c>
      <c r="AC27" s="157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491"/>
      <c r="Q28" s="1566">
        <f t="shared" si="11"/>
        <v>111</v>
      </c>
      <c r="R28" s="1567" t="s">
        <v>8</v>
      </c>
      <c r="S28" s="1568">
        <f t="shared" ref="S28:S40" si="12">F28</f>
        <v>100</v>
      </c>
      <c r="T28" s="1567" t="s">
        <v>8</v>
      </c>
      <c r="U28" s="1568">
        <f t="shared" ref="U28:U40" si="13">H28</f>
        <v>100</v>
      </c>
      <c r="V28" s="1567" t="s">
        <v>8</v>
      </c>
      <c r="W28" s="1568">
        <f t="shared" ref="W28:W40" si="14">J28</f>
        <v>100</v>
      </c>
      <c r="X28" s="1561"/>
      <c r="Y28" s="3491"/>
      <c r="Z28" s="1569">
        <f t="shared" ref="Z28:Z40" si="15">Q28</f>
        <v>111</v>
      </c>
      <c r="AA28" s="1570">
        <f t="shared" si="3"/>
        <v>1</v>
      </c>
      <c r="AB28" s="1570">
        <f t="shared" si="4"/>
        <v>1</v>
      </c>
      <c r="AC28" s="1570">
        <f t="shared" si="5"/>
        <v>1</v>
      </c>
    </row>
    <row r="29" spans="1:29" ht="15">
      <c r="A29" s="2923" t="s">
        <v>2756</v>
      </c>
      <c r="B29" s="171"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492" t="s">
        <v>550</v>
      </c>
      <c r="Q29" s="1566" t="str">
        <f t="shared" si="11"/>
        <v>建筑类型</v>
      </c>
      <c r="R29" s="1567" t="s">
        <v>8</v>
      </c>
      <c r="S29" s="1568">
        <f t="shared" si="12"/>
        <v>100</v>
      </c>
      <c r="T29" s="1567" t="s">
        <v>8</v>
      </c>
      <c r="U29" s="1568">
        <f t="shared" si="13"/>
        <v>100</v>
      </c>
      <c r="V29" s="1567" t="s">
        <v>8</v>
      </c>
      <c r="W29" s="1568">
        <f t="shared" si="14"/>
        <v>100</v>
      </c>
      <c r="X29" s="1561"/>
      <c r="Y29" s="3493" t="s">
        <v>550</v>
      </c>
      <c r="Z29" s="1569" t="str">
        <f t="shared" si="15"/>
        <v>建筑类型</v>
      </c>
      <c r="AA29" s="1570">
        <f t="shared" si="3"/>
        <v>1</v>
      </c>
      <c r="AB29" s="1570">
        <f t="shared" si="4"/>
        <v>1</v>
      </c>
      <c r="AC29" s="1570">
        <f t="shared" si="5"/>
        <v>1</v>
      </c>
    </row>
    <row r="30" spans="1:29" s="1334"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493"/>
      <c r="Q30" s="1599" t="str">
        <f t="shared" si="11"/>
        <v>项目建筑规模</v>
      </c>
      <c r="R30" s="1571" t="s">
        <v>8</v>
      </c>
      <c r="S30" s="1572" t="e">
        <f t="shared" si="12"/>
        <v>#N/A</v>
      </c>
      <c r="T30" s="1571" t="s">
        <v>8</v>
      </c>
      <c r="U30" s="1572" t="e">
        <f t="shared" si="13"/>
        <v>#N/A</v>
      </c>
      <c r="V30" s="1571" t="s">
        <v>8</v>
      </c>
      <c r="W30" s="1572" t="e">
        <f t="shared" si="14"/>
        <v>#N/A</v>
      </c>
      <c r="X30" s="1573"/>
      <c r="Y30" s="3493"/>
      <c r="Z30" s="1574" t="str">
        <f t="shared" si="15"/>
        <v>项目建筑规模</v>
      </c>
      <c r="AA30" s="1570" t="e">
        <f t="shared" si="3"/>
        <v>#N/A</v>
      </c>
      <c r="AB30" s="1570" t="e">
        <f t="shared" si="4"/>
        <v>#N/A</v>
      </c>
      <c r="AC30" s="1570"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493"/>
      <c r="Q31" s="1566" t="str">
        <f t="shared" si="11"/>
        <v>建筑结构</v>
      </c>
      <c r="R31" s="1567" t="s">
        <v>8</v>
      </c>
      <c r="S31" s="1568">
        <f t="shared" si="12"/>
        <v>100</v>
      </c>
      <c r="T31" s="1567" t="s">
        <v>8</v>
      </c>
      <c r="U31" s="1568">
        <f t="shared" si="13"/>
        <v>100</v>
      </c>
      <c r="V31" s="1567" t="s">
        <v>8</v>
      </c>
      <c r="W31" s="1568">
        <f t="shared" si="14"/>
        <v>100</v>
      </c>
      <c r="X31" s="1561"/>
      <c r="Y31" s="3493"/>
      <c r="Z31" s="1569" t="str">
        <f t="shared" si="15"/>
        <v>建筑结构</v>
      </c>
      <c r="AA31" s="1570">
        <f t="shared" si="3"/>
        <v>1</v>
      </c>
      <c r="AB31" s="1570">
        <f t="shared" si="4"/>
        <v>1</v>
      </c>
      <c r="AC31" s="1570">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493"/>
      <c r="Q32" s="1566" t="str">
        <f t="shared" si="11"/>
        <v>公共部分装修</v>
      </c>
      <c r="R32" s="1567" t="s">
        <v>8</v>
      </c>
      <c r="S32" s="1568">
        <f t="shared" si="12"/>
        <v>100</v>
      </c>
      <c r="T32" s="1567" t="s">
        <v>8</v>
      </c>
      <c r="U32" s="1568">
        <f t="shared" si="13"/>
        <v>100</v>
      </c>
      <c r="V32" s="1567" t="s">
        <v>8</v>
      </c>
      <c r="W32" s="1568">
        <f t="shared" si="14"/>
        <v>100</v>
      </c>
      <c r="X32" s="1561"/>
      <c r="Y32" s="3493"/>
      <c r="Z32" s="1569" t="str">
        <f t="shared" si="15"/>
        <v>公共部分装修</v>
      </c>
      <c r="AA32" s="1570">
        <f t="shared" si="3"/>
        <v>1</v>
      </c>
      <c r="AB32" s="1570">
        <f t="shared" si="4"/>
        <v>1</v>
      </c>
      <c r="AC32" s="1570">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493"/>
      <c r="Q33" s="1566" t="str">
        <f t="shared" si="11"/>
        <v>成新度</v>
      </c>
      <c r="R33" s="1567" t="s">
        <v>8</v>
      </c>
      <c r="S33" s="1568" t="e">
        <f t="shared" si="12"/>
        <v>#N/A</v>
      </c>
      <c r="T33" s="1567" t="s">
        <v>8</v>
      </c>
      <c r="U33" s="1568" t="e">
        <f t="shared" si="13"/>
        <v>#N/A</v>
      </c>
      <c r="V33" s="1567" t="s">
        <v>8</v>
      </c>
      <c r="W33" s="1568" t="e">
        <f t="shared" si="14"/>
        <v>#N/A</v>
      </c>
      <c r="X33" s="1561"/>
      <c r="Y33" s="3493"/>
      <c r="Z33" s="1569" t="str">
        <f t="shared" si="15"/>
        <v>成新度</v>
      </c>
      <c r="AA33" s="1570" t="e">
        <f t="shared" si="3"/>
        <v>#N/A</v>
      </c>
      <c r="AB33" s="1570" t="e">
        <f t="shared" si="4"/>
        <v>#N/A</v>
      </c>
      <c r="AC33" s="1570" t="e">
        <f t="shared" si="5"/>
        <v>#N/A</v>
      </c>
    </row>
    <row r="34" spans="1:29" s="1215"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493"/>
      <c r="Q34" s="1146" t="str">
        <f t="shared" si="11"/>
        <v>物业管理</v>
      </c>
      <c r="R34" s="1562" t="s">
        <v>8</v>
      </c>
      <c r="S34" s="1563">
        <f t="shared" si="12"/>
        <v>100</v>
      </c>
      <c r="T34" s="1562" t="s">
        <v>8</v>
      </c>
      <c r="U34" s="1563">
        <f t="shared" si="13"/>
        <v>100</v>
      </c>
      <c r="V34" s="1562" t="s">
        <v>8</v>
      </c>
      <c r="W34" s="1563">
        <f t="shared" si="14"/>
        <v>100</v>
      </c>
      <c r="X34" s="1564"/>
      <c r="Y34" s="3493"/>
      <c r="Z34" s="1145" t="str">
        <f t="shared" si="15"/>
        <v>物业管理</v>
      </c>
      <c r="AA34" s="1565">
        <f t="shared" si="3"/>
        <v>1</v>
      </c>
      <c r="AB34" s="1565">
        <f t="shared" si="4"/>
        <v>1</v>
      </c>
      <c r="AC34" s="1565">
        <f t="shared" si="5"/>
        <v>1</v>
      </c>
    </row>
    <row r="35" spans="1:29" ht="15">
      <c r="A35" s="591"/>
      <c r="B35" s="1889" t="s">
        <v>2566</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493" t="s">
        <v>550</v>
      </c>
      <c r="Q35" s="1566" t="str">
        <f t="shared" si="11"/>
        <v>市政基础设施</v>
      </c>
      <c r="R35" s="1567" t="s">
        <v>8</v>
      </c>
      <c r="S35" s="1568">
        <f t="shared" si="12"/>
        <v>100</v>
      </c>
      <c r="T35" s="1567" t="s">
        <v>8</v>
      </c>
      <c r="U35" s="1568">
        <f t="shared" si="13"/>
        <v>100</v>
      </c>
      <c r="V35" s="1567" t="s">
        <v>8</v>
      </c>
      <c r="W35" s="1568">
        <f t="shared" si="14"/>
        <v>100</v>
      </c>
      <c r="X35" s="1561"/>
      <c r="Y35" s="3493" t="s">
        <v>550</v>
      </c>
      <c r="Z35" s="1569" t="str">
        <f t="shared" si="15"/>
        <v>市政基础设施</v>
      </c>
      <c r="AA35" s="1570">
        <f t="shared" si="3"/>
        <v>1</v>
      </c>
      <c r="AB35" s="1570">
        <f t="shared" si="4"/>
        <v>1</v>
      </c>
      <c r="AC35" s="1570">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493"/>
      <c r="Q36" s="1566" t="str">
        <f t="shared" si="11"/>
        <v>内部装修</v>
      </c>
      <c r="R36" s="1567" t="s">
        <v>8</v>
      </c>
      <c r="S36" s="1568">
        <f t="shared" si="12"/>
        <v>100</v>
      </c>
      <c r="T36" s="1567" t="s">
        <v>8</v>
      </c>
      <c r="U36" s="1568">
        <f t="shared" si="13"/>
        <v>100</v>
      </c>
      <c r="V36" s="1567" t="s">
        <v>8</v>
      </c>
      <c r="W36" s="1568">
        <f t="shared" si="14"/>
        <v>100</v>
      </c>
      <c r="X36" s="1561"/>
      <c r="Y36" s="3493"/>
      <c r="Z36" s="1569" t="str">
        <f t="shared" si="15"/>
        <v>内部装修</v>
      </c>
      <c r="AA36" s="1570">
        <f t="shared" si="3"/>
        <v>1</v>
      </c>
      <c r="AB36" s="1570">
        <f t="shared" si="4"/>
        <v>1</v>
      </c>
      <c r="AC36" s="1570">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493"/>
      <c r="Q37" s="1566" t="str">
        <f t="shared" si="11"/>
        <v>内部装修状况</v>
      </c>
      <c r="R37" s="1567" t="s">
        <v>8</v>
      </c>
      <c r="S37" s="1568">
        <f t="shared" si="12"/>
        <v>100</v>
      </c>
      <c r="T37" s="1567" t="s">
        <v>8</v>
      </c>
      <c r="U37" s="1568">
        <f t="shared" si="13"/>
        <v>100</v>
      </c>
      <c r="V37" s="1567" t="s">
        <v>8</v>
      </c>
      <c r="W37" s="1568">
        <f t="shared" si="14"/>
        <v>100</v>
      </c>
      <c r="X37" s="1561"/>
      <c r="Y37" s="3493"/>
      <c r="Z37" s="1569" t="str">
        <f t="shared" si="15"/>
        <v>内部装修状况</v>
      </c>
      <c r="AA37" s="1570">
        <f t="shared" si="3"/>
        <v>1</v>
      </c>
      <c r="AB37" s="1570">
        <f t="shared" si="4"/>
        <v>1</v>
      </c>
      <c r="AC37" s="1570">
        <f t="shared" si="5"/>
        <v>1</v>
      </c>
    </row>
    <row r="38" spans="1:29" s="1334"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493"/>
      <c r="Q38" s="1599">
        <f t="shared" si="11"/>
        <v>111</v>
      </c>
      <c r="R38" s="1571" t="s">
        <v>8</v>
      </c>
      <c r="S38" s="1572">
        <f t="shared" si="12"/>
        <v>100</v>
      </c>
      <c r="T38" s="1571" t="s">
        <v>8</v>
      </c>
      <c r="U38" s="1572">
        <f t="shared" si="13"/>
        <v>100</v>
      </c>
      <c r="V38" s="1571" t="s">
        <v>8</v>
      </c>
      <c r="W38" s="1572">
        <f t="shared" si="14"/>
        <v>100</v>
      </c>
      <c r="X38" s="1573"/>
      <c r="Y38" s="3493"/>
      <c r="Z38" s="1574">
        <f t="shared" si="15"/>
        <v>111</v>
      </c>
      <c r="AA38" s="1570">
        <f t="shared" si="3"/>
        <v>1</v>
      </c>
      <c r="AB38" s="1570">
        <f t="shared" si="4"/>
        <v>1</v>
      </c>
      <c r="AC38" s="157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493"/>
      <c r="Q39" s="1566">
        <f t="shared" si="11"/>
        <v>111</v>
      </c>
      <c r="R39" s="1567" t="s">
        <v>8</v>
      </c>
      <c r="S39" s="1568">
        <f t="shared" si="12"/>
        <v>100</v>
      </c>
      <c r="T39" s="1567" t="s">
        <v>8</v>
      </c>
      <c r="U39" s="1568">
        <f t="shared" si="13"/>
        <v>100</v>
      </c>
      <c r="V39" s="1567" t="s">
        <v>8</v>
      </c>
      <c r="W39" s="1568">
        <f t="shared" si="14"/>
        <v>100</v>
      </c>
      <c r="X39" s="1561"/>
      <c r="Y39" s="3493"/>
      <c r="Z39" s="1569">
        <f t="shared" si="15"/>
        <v>111</v>
      </c>
      <c r="AA39" s="1570">
        <f t="shared" si="3"/>
        <v>1</v>
      </c>
      <c r="AB39" s="1570">
        <f t="shared" si="4"/>
        <v>1</v>
      </c>
      <c r="AC39" s="157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568"/>
      <c r="Q40" s="1566">
        <f t="shared" si="11"/>
        <v>111</v>
      </c>
      <c r="R40" s="1567" t="s">
        <v>8</v>
      </c>
      <c r="S40" s="1568">
        <f t="shared" si="12"/>
        <v>100</v>
      </c>
      <c r="T40" s="1567" t="s">
        <v>8</v>
      </c>
      <c r="U40" s="1568">
        <f t="shared" si="13"/>
        <v>100</v>
      </c>
      <c r="V40" s="1567" t="s">
        <v>8</v>
      </c>
      <c r="W40" s="1568">
        <f t="shared" si="14"/>
        <v>100</v>
      </c>
      <c r="X40" s="1561"/>
      <c r="Y40" s="3568"/>
      <c r="Z40" s="1569">
        <f t="shared" si="15"/>
        <v>111</v>
      </c>
      <c r="AA40" s="1570">
        <f t="shared" si="3"/>
        <v>1</v>
      </c>
      <c r="AB40" s="1570">
        <f t="shared" si="4"/>
        <v>1</v>
      </c>
      <c r="AC40" s="1570">
        <f t="shared" si="5"/>
        <v>1</v>
      </c>
    </row>
    <row r="41" spans="1:29" ht="15">
      <c r="A41" s="604" t="s">
        <v>736</v>
      </c>
      <c r="B41" s="884"/>
      <c r="C41" s="2643" t="s">
        <v>1</v>
      </c>
      <c r="D41" s="2644"/>
      <c r="E41" s="2645"/>
      <c r="F41" s="2646"/>
      <c r="G41" s="2647"/>
      <c r="H41" s="2648"/>
      <c r="I41" s="2645"/>
      <c r="J41" s="2648"/>
      <c r="K41" s="1605"/>
      <c r="L41" s="2138"/>
      <c r="M41" s="2139"/>
      <c r="N41" s="2128"/>
      <c r="O41" s="2139"/>
      <c r="P41" s="3488" t="str">
        <f>A41</f>
        <v>成交单价（元/平方米）</v>
      </c>
      <c r="Q41" s="3488"/>
      <c r="R41" s="3567">
        <f>E41</f>
        <v>0</v>
      </c>
      <c r="S41" s="3567"/>
      <c r="T41" s="3567">
        <f>G41</f>
        <v>0</v>
      </c>
      <c r="U41" s="3567"/>
      <c r="V41" s="3567">
        <f>I41</f>
        <v>0</v>
      </c>
      <c r="W41" s="3567"/>
      <c r="X41" s="1553"/>
      <c r="Y41" s="1575"/>
      <c r="Z41" s="1553"/>
      <c r="AA41" s="1553"/>
      <c r="AB41" s="1553"/>
      <c r="AC41" s="1553"/>
    </row>
    <row r="42" spans="1:29" ht="15.75" thickBot="1">
      <c r="A42" s="612" t="s">
        <v>2761</v>
      </c>
      <c r="B42" s="885"/>
      <c r="C42" s="2649" t="e">
        <f>R43</f>
        <v>#DIV/0!</v>
      </c>
      <c r="D42" s="2650"/>
      <c r="E42" s="2651" t="e">
        <f>R42</f>
        <v>#DIV/0!</v>
      </c>
      <c r="F42" s="2651"/>
      <c r="G42" s="2649" t="e">
        <f>T42</f>
        <v>#DIV/0!</v>
      </c>
      <c r="H42" s="2650"/>
      <c r="I42" s="2651" t="e">
        <f>V42</f>
        <v>#DIV/0!</v>
      </c>
      <c r="J42" s="2650"/>
      <c r="K42" s="1606"/>
      <c r="L42" s="2138"/>
      <c r="M42" s="2139"/>
      <c r="N42" s="2128"/>
      <c r="O42" s="2139"/>
      <c r="P42" s="3488" t="str">
        <f>A42</f>
        <v>比较价格（元/平方米）</v>
      </c>
      <c r="Q42" s="3488"/>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53"/>
      <c r="Y42" s="1553"/>
      <c r="Z42" s="1553"/>
      <c r="AA42" s="1553"/>
      <c r="AB42" s="1553"/>
      <c r="AC42" s="1553"/>
    </row>
    <row r="43" spans="1:29" ht="15.75" thickBot="1">
      <c r="A43" s="618" t="s">
        <v>2930</v>
      </c>
      <c r="B43" s="619"/>
      <c r="C43" s="2652" t="e">
        <f>R43</f>
        <v>#DIV/0!</v>
      </c>
      <c r="D43" s="2652"/>
      <c r="E43" s="2652"/>
      <c r="F43" s="2652"/>
      <c r="G43" s="2652"/>
      <c r="H43" s="2652"/>
      <c r="I43" s="2652"/>
      <c r="J43" s="2652"/>
      <c r="K43" s="1607"/>
      <c r="L43" s="2138"/>
      <c r="M43" s="2139"/>
      <c r="N43" s="2139"/>
      <c r="O43" s="2139"/>
      <c r="P43" s="3509" t="str">
        <f>A43</f>
        <v>估价对象XX用房的比较价格（楼面单价，元/平方米）</v>
      </c>
      <c r="Q43" s="3510"/>
      <c r="R43" s="3566" t="e">
        <f>IF(F1="售价",ROUND(AVERAGE(R42:V42),0),ROUND(AVERAGE(R42:V42),1))</f>
        <v>#DIV/0!</v>
      </c>
      <c r="S43" s="3566"/>
      <c r="T43" s="3566"/>
      <c r="U43" s="3566"/>
      <c r="V43" s="3566"/>
      <c r="W43" s="3566"/>
      <c r="X43" s="1553"/>
      <c r="Y43" s="1553"/>
      <c r="Z43" s="1553"/>
      <c r="AA43" s="1553"/>
      <c r="AB43" s="1553"/>
      <c r="AC43" s="1553"/>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8" t="s">
        <v>574</v>
      </c>
      <c r="B51" s="1553"/>
      <c r="C51" s="1577"/>
      <c r="D51" s="1577"/>
      <c r="E51" s="1577"/>
      <c r="F51" s="1579"/>
      <c r="G51" s="1579"/>
      <c r="H51" s="1577"/>
      <c r="I51" s="1577"/>
      <c r="J51" s="1577"/>
      <c r="K51" s="1580"/>
      <c r="L51" s="1576"/>
      <c r="M51" s="1577"/>
      <c r="N51" s="1577"/>
      <c r="O51" s="1577"/>
      <c r="P51" s="2151"/>
      <c r="Q51" s="2152"/>
      <c r="R51" s="2139"/>
      <c r="S51" s="2139"/>
      <c r="T51" s="2139"/>
      <c r="U51" s="2139"/>
      <c r="V51" s="2139"/>
      <c r="W51" s="2139"/>
      <c r="X51" s="2139"/>
      <c r="Y51" s="2139"/>
      <c r="Z51" s="2139"/>
      <c r="AA51" s="2139"/>
      <c r="AB51" s="2139"/>
      <c r="AC51" s="2139"/>
    </row>
    <row r="52" spans="1:29" s="1342" customFormat="1" ht="15">
      <c r="A52" s="642" t="s">
        <v>529</v>
      </c>
      <c r="B52" s="643"/>
      <c r="C52" s="2818" t="str">
        <f>YEAR(C7)&amp;"-"&amp;MONTH(C7)</f>
        <v>2018-8</v>
      </c>
      <c r="D52" s="2820">
        <f>EDATE(C52,-1)</f>
        <v>43282</v>
      </c>
      <c r="E52" s="2820">
        <f t="shared" ref="E52:O52" si="16">EDATE(D52,-1)</f>
        <v>43252</v>
      </c>
      <c r="F52" s="2820">
        <f t="shared" si="16"/>
        <v>43221</v>
      </c>
      <c r="G52" s="2820">
        <f t="shared" si="16"/>
        <v>43191</v>
      </c>
      <c r="H52" s="2820">
        <f t="shared" si="16"/>
        <v>43160</v>
      </c>
      <c r="I52" s="2820">
        <f t="shared" si="16"/>
        <v>43132</v>
      </c>
      <c r="J52" s="2820">
        <f t="shared" si="16"/>
        <v>43101</v>
      </c>
      <c r="K52" s="2820">
        <f t="shared" si="16"/>
        <v>43070</v>
      </c>
      <c r="L52" s="2820">
        <f t="shared" si="16"/>
        <v>43040</v>
      </c>
      <c r="M52" s="2820">
        <f t="shared" si="16"/>
        <v>43009</v>
      </c>
      <c r="N52" s="2820">
        <f t="shared" si="16"/>
        <v>42979</v>
      </c>
      <c r="O52" s="2820">
        <f t="shared" si="16"/>
        <v>42948</v>
      </c>
      <c r="P52" s="2154"/>
      <c r="Q52" s="2155"/>
      <c r="R52" s="2155"/>
      <c r="S52" s="2155"/>
      <c r="T52" s="2155"/>
      <c r="U52" s="2155"/>
      <c r="V52" s="2155"/>
      <c r="W52" s="2155"/>
      <c r="X52" s="2155"/>
      <c r="Y52" s="2155"/>
      <c r="Z52" s="2155"/>
      <c r="AA52" s="2155"/>
      <c r="AB52" s="2155"/>
      <c r="AC52" s="2155"/>
    </row>
    <row r="53" spans="1:29" s="1215"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5"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5"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2558</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3" t="s">
        <v>2559</v>
      </c>
      <c r="C76" s="2614" t="s">
        <v>2560</v>
      </c>
      <c r="D76" s="2614" t="s">
        <v>2561</v>
      </c>
      <c r="E76" s="2614" t="s">
        <v>2562</v>
      </c>
      <c r="F76" s="2614" t="s">
        <v>2563</v>
      </c>
      <c r="G76" s="2614" t="s">
        <v>2564</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2557</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IF(B37="元/平方米",C39,ROUND(B2*10000/D3,0))</f>
        <v>#DIV/0!</v>
      </c>
      <c r="C3" s="849" t="s">
        <v>796</v>
      </c>
      <c r="D3" s="848">
        <f>SUMIF('数据-汇总表'!$C19:$C33,D1,'数据-汇总表'!$E19:$E33)</f>
        <v>0</v>
      </c>
      <c r="E3" s="1842" t="s">
        <v>2076</v>
      </c>
      <c r="F3" s="848">
        <f>SUMIF('数据-取费表'!A5:A15,D1,'数据-取费表'!AH5:AH15)</f>
        <v>0</v>
      </c>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94" t="s">
        <v>798</v>
      </c>
      <c r="D4" s="3495"/>
      <c r="E4" s="3494" t="s">
        <v>799</v>
      </c>
      <c r="F4" s="3495"/>
      <c r="G4" s="3494" t="s">
        <v>800</v>
      </c>
      <c r="H4" s="3495"/>
      <c r="I4" s="3494" t="s">
        <v>801</v>
      </c>
      <c r="J4" s="3495"/>
      <c r="K4" s="511" t="s">
        <v>802</v>
      </c>
      <c r="L4" s="2127"/>
      <c r="M4" s="2128"/>
      <c r="N4" s="2128"/>
      <c r="O4" s="2128"/>
      <c r="P4" s="3496" t="s">
        <v>803</v>
      </c>
      <c r="Q4" s="3497"/>
      <c r="R4" s="3482" t="s">
        <v>799</v>
      </c>
      <c r="S4" s="3483"/>
      <c r="T4" s="3482" t="s">
        <v>800</v>
      </c>
      <c r="U4" s="3483"/>
      <c r="V4" s="3502" t="s">
        <v>801</v>
      </c>
      <c r="W4" s="3502"/>
      <c r="X4" s="1561"/>
      <c r="Y4" s="3482" t="s">
        <v>803</v>
      </c>
      <c r="Z4" s="3483"/>
      <c r="AA4" s="3477" t="s">
        <v>799</v>
      </c>
      <c r="AB4" s="3478" t="s">
        <v>800</v>
      </c>
      <c r="AC4" s="3477" t="s">
        <v>801</v>
      </c>
    </row>
    <row r="5" spans="1:29" ht="15">
      <c r="A5" s="512"/>
      <c r="B5" s="513"/>
      <c r="C5" s="3505" t="s">
        <v>2924</v>
      </c>
      <c r="D5" s="3506"/>
      <c r="E5" s="3505" t="s">
        <v>2925</v>
      </c>
      <c r="F5" s="3506"/>
      <c r="G5" s="3505" t="s">
        <v>2926</v>
      </c>
      <c r="H5" s="3506"/>
      <c r="I5" s="3505" t="s">
        <v>2927</v>
      </c>
      <c r="J5" s="3506"/>
      <c r="K5" s="511"/>
      <c r="L5" s="2127"/>
      <c r="M5" s="2128"/>
      <c r="N5" s="2128"/>
      <c r="O5" s="2128"/>
      <c r="P5" s="3498"/>
      <c r="Q5" s="3499"/>
      <c r="R5" s="3484"/>
      <c r="S5" s="3485"/>
      <c r="T5" s="3484"/>
      <c r="U5" s="3485"/>
      <c r="V5" s="3502"/>
      <c r="W5" s="3502"/>
      <c r="X5" s="1561"/>
      <c r="Y5" s="3484"/>
      <c r="Z5" s="3485"/>
      <c r="AA5" s="3478"/>
      <c r="AB5" s="3478"/>
      <c r="AC5" s="3478"/>
    </row>
    <row r="6" spans="1:29" ht="15.75" thickBot="1">
      <c r="A6" s="514"/>
      <c r="B6" s="515"/>
      <c r="C6" s="3503" t="s">
        <v>2928</v>
      </c>
      <c r="D6" s="3504"/>
      <c r="E6" s="3507" t="s">
        <v>2928</v>
      </c>
      <c r="F6" s="3508"/>
      <c r="G6" s="3503" t="s">
        <v>2928</v>
      </c>
      <c r="H6" s="3504"/>
      <c r="I6" s="3503" t="s">
        <v>2928</v>
      </c>
      <c r="J6" s="3504"/>
      <c r="K6" s="511" t="s">
        <v>528</v>
      </c>
      <c r="L6" s="2127"/>
      <c r="M6" s="2128"/>
      <c r="N6" s="2128"/>
      <c r="O6" s="2128"/>
      <c r="P6" s="3500"/>
      <c r="Q6" s="3501"/>
      <c r="R6" s="3484"/>
      <c r="S6" s="3485"/>
      <c r="T6" s="3486"/>
      <c r="U6" s="3487"/>
      <c r="V6" s="3502"/>
      <c r="W6" s="3502"/>
      <c r="X6" s="1561"/>
      <c r="Y6" s="3486"/>
      <c r="Z6" s="3487"/>
      <c r="AA6" s="3479"/>
      <c r="AB6" s="3479"/>
      <c r="AC6" s="3479"/>
    </row>
    <row r="7" spans="1:29" s="1215" customFormat="1" ht="15.75" thickBot="1">
      <c r="A7" s="2928"/>
      <c r="B7" s="2935" t="s">
        <v>529</v>
      </c>
      <c r="C7" s="516">
        <f>'数据-取费表'!B2</f>
        <v>43313</v>
      </c>
      <c r="D7" s="517">
        <v>100</v>
      </c>
      <c r="E7" s="518"/>
      <c r="F7" s="519">
        <f>SUMIF(48:48,YEAR(E7)&amp;"-"&amp;MONTH(E7),49:49)</f>
        <v>0</v>
      </c>
      <c r="G7" s="520"/>
      <c r="H7" s="517">
        <f>SUMIF(48:48,YEAR(G7)&amp;"-"&amp;MONTH(G7),49:49)</f>
        <v>0</v>
      </c>
      <c r="I7" s="520"/>
      <c r="J7" s="517">
        <f>SUMIF(48:48,YEAR(I7)&amp;"-"&amp;MONTH(I7),49:49)</f>
        <v>0</v>
      </c>
      <c r="K7" s="521"/>
      <c r="L7" s="2129"/>
      <c r="M7" s="2130"/>
      <c r="N7" s="2130"/>
      <c r="O7" s="2130"/>
      <c r="P7" s="3480" t="s">
        <v>530</v>
      </c>
      <c r="Q7" s="3489"/>
      <c r="R7" s="1562" t="s">
        <v>8</v>
      </c>
      <c r="S7" s="1563">
        <f t="shared" ref="S7:S14" si="0">F7</f>
        <v>0</v>
      </c>
      <c r="T7" s="1562" t="s">
        <v>8</v>
      </c>
      <c r="U7" s="1563">
        <f t="shared" ref="U7:U14" si="1">H7</f>
        <v>0</v>
      </c>
      <c r="V7" s="1562" t="s">
        <v>8</v>
      </c>
      <c r="W7" s="1563">
        <f t="shared" ref="W7:W14" si="2">J7</f>
        <v>0</v>
      </c>
      <c r="X7" s="1564"/>
      <c r="Y7" s="3480" t="s">
        <v>530</v>
      </c>
      <c r="Z7" s="3481"/>
      <c r="AA7" s="1565" t="e">
        <f>D7/F7</f>
        <v>#DIV/0!</v>
      </c>
      <c r="AB7" s="1565" t="e">
        <f>D7/H7</f>
        <v>#DIV/0!</v>
      </c>
      <c r="AC7" s="1565" t="e">
        <f>D7/J7</f>
        <v>#DIV/0!</v>
      </c>
    </row>
    <row r="8" spans="1:29" s="1215" customFormat="1" ht="15.75" thickBot="1">
      <c r="A8" s="2929"/>
      <c r="B8" s="2936"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480" t="s">
        <v>533</v>
      </c>
      <c r="Q8" s="3481"/>
      <c r="R8" s="1562" t="s">
        <v>8</v>
      </c>
      <c r="S8" s="1563">
        <f t="shared" si="0"/>
        <v>0</v>
      </c>
      <c r="T8" s="1562" t="s">
        <v>8</v>
      </c>
      <c r="U8" s="1563">
        <f t="shared" si="1"/>
        <v>0</v>
      </c>
      <c r="V8" s="1562" t="s">
        <v>8</v>
      </c>
      <c r="W8" s="1563">
        <f t="shared" si="2"/>
        <v>0</v>
      </c>
      <c r="X8" s="1564"/>
      <c r="Y8" s="3480" t="s">
        <v>533</v>
      </c>
      <c r="Z8" s="3481"/>
      <c r="AA8" s="1565" t="e">
        <f t="shared" ref="AA8:AA36" si="3">D8/F8</f>
        <v>#DIV/0!</v>
      </c>
      <c r="AB8" s="1565" t="e">
        <f t="shared" ref="AB8:AB36" si="4">D8/H8</f>
        <v>#DIV/0!</v>
      </c>
      <c r="AC8" s="1565" t="e">
        <f t="shared" ref="AC8:AC36" si="5">D8/J8</f>
        <v>#DIV/0!</v>
      </c>
    </row>
    <row r="9" spans="1:29" s="1215" customFormat="1" ht="15">
      <c r="A9" s="2930"/>
      <c r="B9" s="2937" t="s">
        <v>2757</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488" t="s">
        <v>535</v>
      </c>
      <c r="Q9" s="1146" t="str">
        <f t="shared" ref="Q9:Q14" si="6">B9</f>
        <v>用途</v>
      </c>
      <c r="R9" s="1562" t="s">
        <v>8</v>
      </c>
      <c r="S9" s="1563">
        <f t="shared" si="0"/>
        <v>100</v>
      </c>
      <c r="T9" s="1562" t="s">
        <v>8</v>
      </c>
      <c r="U9" s="1563">
        <f t="shared" si="1"/>
        <v>100</v>
      </c>
      <c r="V9" s="1562" t="s">
        <v>8</v>
      </c>
      <c r="W9" s="1563">
        <f t="shared" si="2"/>
        <v>100</v>
      </c>
      <c r="X9" s="1564"/>
      <c r="Y9" s="3445"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488"/>
      <c r="Q10" s="1146" t="str">
        <f t="shared" si="6"/>
        <v>土地使用年限（年）</v>
      </c>
      <c r="R10" s="1562" t="s">
        <v>8</v>
      </c>
      <c r="S10" s="1563">
        <f t="shared" si="0"/>
        <v>100</v>
      </c>
      <c r="T10" s="1562" t="s">
        <v>8</v>
      </c>
      <c r="U10" s="1563">
        <f t="shared" si="1"/>
        <v>100</v>
      </c>
      <c r="V10" s="1562" t="s">
        <v>8</v>
      </c>
      <c r="W10" s="1563">
        <f t="shared" si="2"/>
        <v>100</v>
      </c>
      <c r="X10" s="1564"/>
      <c r="Y10" s="3445"/>
      <c r="Z10" s="1145" t="str">
        <f t="shared" si="7"/>
        <v>土地使用年限（年）</v>
      </c>
      <c r="AA10" s="1565">
        <f t="shared" si="3"/>
        <v>1</v>
      </c>
      <c r="AB10" s="1565">
        <f t="shared" si="4"/>
        <v>1</v>
      </c>
      <c r="AC10" s="1565">
        <f t="shared" si="5"/>
        <v>1</v>
      </c>
    </row>
    <row r="11" spans="1:29" ht="15">
      <c r="A11" s="2933"/>
      <c r="B11" s="2939">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488"/>
      <c r="Q11" s="1146">
        <f t="shared" si="6"/>
        <v>111</v>
      </c>
      <c r="R11" s="1562" t="s">
        <v>8</v>
      </c>
      <c r="S11" s="1563">
        <f t="shared" si="0"/>
        <v>100</v>
      </c>
      <c r="T11" s="1562" t="s">
        <v>8</v>
      </c>
      <c r="U11" s="1563">
        <f t="shared" si="1"/>
        <v>100</v>
      </c>
      <c r="V11" s="1562" t="s">
        <v>8</v>
      </c>
      <c r="W11" s="1563">
        <f t="shared" si="2"/>
        <v>100</v>
      </c>
      <c r="X11" s="1564"/>
      <c r="Y11" s="3445"/>
      <c r="Z11" s="1145">
        <f t="shared" si="7"/>
        <v>111</v>
      </c>
      <c r="AA11" s="1565">
        <f t="shared" si="3"/>
        <v>1</v>
      </c>
      <c r="AB11" s="1565">
        <f t="shared" si="4"/>
        <v>1</v>
      </c>
      <c r="AC11" s="1565">
        <f t="shared" si="5"/>
        <v>1</v>
      </c>
    </row>
    <row r="12" spans="1:29" s="1215" customFormat="1" ht="15">
      <c r="A12" s="2933"/>
      <c r="B12" s="2939">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488"/>
      <c r="Q12" s="1146">
        <f t="shared" si="6"/>
        <v>111</v>
      </c>
      <c r="R12" s="1562" t="s">
        <v>8</v>
      </c>
      <c r="S12" s="1563">
        <f t="shared" si="0"/>
        <v>100</v>
      </c>
      <c r="T12" s="1562" t="s">
        <v>8</v>
      </c>
      <c r="U12" s="1563">
        <f t="shared" si="1"/>
        <v>100</v>
      </c>
      <c r="V12" s="1562" t="s">
        <v>8</v>
      </c>
      <c r="W12" s="1563">
        <f t="shared" si="2"/>
        <v>100</v>
      </c>
      <c r="X12" s="1564"/>
      <c r="Y12" s="3445"/>
      <c r="Z12" s="1145">
        <f t="shared" si="7"/>
        <v>111</v>
      </c>
      <c r="AA12" s="1565">
        <f>D12/F12</f>
        <v>1</v>
      </c>
      <c r="AB12" s="1565">
        <f>D12/H12</f>
        <v>1</v>
      </c>
      <c r="AC12" s="1565">
        <f>D12/J12</f>
        <v>1</v>
      </c>
    </row>
    <row r="13" spans="1:29" ht="15.75" thickBot="1">
      <c r="A13" s="2934"/>
      <c r="B13" s="2940">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488"/>
      <c r="Q13" s="1146">
        <f t="shared" si="6"/>
        <v>111</v>
      </c>
      <c r="R13" s="1562" t="s">
        <v>8</v>
      </c>
      <c r="S13" s="1563">
        <f t="shared" si="0"/>
        <v>100</v>
      </c>
      <c r="T13" s="1562" t="s">
        <v>8</v>
      </c>
      <c r="U13" s="1563">
        <f t="shared" si="1"/>
        <v>100</v>
      </c>
      <c r="V13" s="1562" t="s">
        <v>8</v>
      </c>
      <c r="W13" s="1563">
        <f t="shared" si="2"/>
        <v>100</v>
      </c>
      <c r="X13" s="1564"/>
      <c r="Y13" s="3445"/>
      <c r="Z13" s="1145">
        <f t="shared" si="7"/>
        <v>111</v>
      </c>
      <c r="AA13" s="1565">
        <f t="shared" si="3"/>
        <v>1</v>
      </c>
      <c r="AB13" s="1565">
        <f t="shared" si="4"/>
        <v>1</v>
      </c>
      <c r="AC13" s="1565">
        <f t="shared" si="5"/>
        <v>1</v>
      </c>
    </row>
    <row r="14" spans="1:29" ht="57">
      <c r="A14" s="2926" t="s">
        <v>2755</v>
      </c>
      <c r="B14" s="544" t="s">
        <v>543</v>
      </c>
      <c r="C14" s="918" t="str">
        <f>IF(B1="工业",估价对象房地状况!G4,估价对象房地状况!C6)</f>
        <v>750、804、909，路网密度一般，停车便捷程度一般，一般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490" t="s">
        <v>540</v>
      </c>
      <c r="Q14" s="1566" t="str">
        <f t="shared" si="6"/>
        <v>交通便捷度</v>
      </c>
      <c r="R14" s="1567" t="s">
        <v>8</v>
      </c>
      <c r="S14" s="1568">
        <f t="shared" si="0"/>
        <v>100</v>
      </c>
      <c r="T14" s="1567" t="s">
        <v>8</v>
      </c>
      <c r="U14" s="1568">
        <f t="shared" si="1"/>
        <v>100</v>
      </c>
      <c r="V14" s="1567" t="s">
        <v>8</v>
      </c>
      <c r="W14" s="1568">
        <f t="shared" si="2"/>
        <v>100</v>
      </c>
      <c r="X14" s="1561"/>
      <c r="Y14" s="3490" t="s">
        <v>540</v>
      </c>
      <c r="Z14" s="1569" t="str">
        <f t="shared" si="7"/>
        <v>交通便捷度</v>
      </c>
      <c r="AA14" s="1570">
        <f t="shared" si="3"/>
        <v>1</v>
      </c>
      <c r="AB14" s="1570">
        <f t="shared" si="4"/>
        <v>1</v>
      </c>
      <c r="AC14" s="1570">
        <f t="shared" si="5"/>
        <v>1</v>
      </c>
    </row>
    <row r="15" spans="1:29" ht="15">
      <c r="A15" s="512"/>
      <c r="B15" s="921"/>
      <c r="C15" s="573"/>
      <c r="D15" s="552"/>
      <c r="E15" s="573"/>
      <c r="F15" s="554"/>
      <c r="G15" s="573"/>
      <c r="H15" s="556"/>
      <c r="I15" s="573"/>
      <c r="J15" s="552"/>
      <c r="K15" s="896"/>
      <c r="L15" s="2136"/>
      <c r="M15" s="2128"/>
      <c r="N15" s="2128"/>
      <c r="O15" s="2135"/>
      <c r="P15" s="3491"/>
      <c r="Q15" s="1566"/>
      <c r="R15" s="1567"/>
      <c r="S15" s="1568"/>
      <c r="T15" s="1567"/>
      <c r="U15" s="1568"/>
      <c r="V15" s="1567"/>
      <c r="W15" s="1568"/>
      <c r="X15" s="1561"/>
      <c r="Y15" s="3491"/>
      <c r="Z15" s="1569"/>
      <c r="AA15" s="1570">
        <v>1</v>
      </c>
      <c r="AB15" s="1570">
        <v>1</v>
      </c>
      <c r="AC15" s="1570">
        <v>1</v>
      </c>
    </row>
    <row r="16" spans="1:29" ht="15">
      <c r="A16" s="512"/>
      <c r="B16" s="2619" t="s">
        <v>2547</v>
      </c>
      <c r="C16" s="869" t="str">
        <f>IF(B1="工业",估价对象房地状况!G5,估价对象房地状况!C7)</f>
        <v>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491"/>
      <c r="Q16" s="1566" t="str">
        <f>B16</f>
        <v>公共配套设施</v>
      </c>
      <c r="R16" s="1567" t="s">
        <v>8</v>
      </c>
      <c r="S16" s="1568">
        <f>F16</f>
        <v>100</v>
      </c>
      <c r="T16" s="1567" t="s">
        <v>8</v>
      </c>
      <c r="U16" s="1568">
        <f>H16</f>
        <v>100</v>
      </c>
      <c r="V16" s="1567" t="s">
        <v>8</v>
      </c>
      <c r="W16" s="1568">
        <f>J16</f>
        <v>100</v>
      </c>
      <c r="X16" s="1561"/>
      <c r="Y16" s="3491"/>
      <c r="Z16" s="1569" t="str">
        <f>Q16</f>
        <v>公共配套设施</v>
      </c>
      <c r="AA16" s="1570">
        <f t="shared" si="3"/>
        <v>1</v>
      </c>
      <c r="AB16" s="1570">
        <f t="shared" si="4"/>
        <v>1</v>
      </c>
      <c r="AC16" s="1570">
        <f t="shared" si="5"/>
        <v>1</v>
      </c>
    </row>
    <row r="17" spans="1:29" ht="15">
      <c r="A17" s="512"/>
      <c r="B17" s="563"/>
      <c r="C17" s="870"/>
      <c r="D17" s="552"/>
      <c r="E17" s="573"/>
      <c r="F17" s="554"/>
      <c r="G17" s="573"/>
      <c r="H17" s="552"/>
      <c r="I17" s="573"/>
      <c r="J17" s="552"/>
      <c r="K17" s="896"/>
      <c r="L17" s="2136"/>
      <c r="M17" s="2128"/>
      <c r="N17" s="2128"/>
      <c r="O17" s="2135"/>
      <c r="P17" s="3491"/>
      <c r="Q17" s="1566"/>
      <c r="R17" s="1567"/>
      <c r="S17" s="1568"/>
      <c r="T17" s="1567"/>
      <c r="U17" s="1568"/>
      <c r="V17" s="1567"/>
      <c r="W17" s="1568"/>
      <c r="X17" s="1561"/>
      <c r="Y17" s="3491"/>
      <c r="Z17" s="1569"/>
      <c r="AA17" s="1570">
        <v>1</v>
      </c>
      <c r="AB17" s="1570">
        <v>1</v>
      </c>
      <c r="AC17" s="1570">
        <v>1</v>
      </c>
    </row>
    <row r="18" spans="1:29" ht="15">
      <c r="A18" s="512"/>
      <c r="B18" s="2607" t="s">
        <v>2559</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491"/>
      <c r="Q18" s="2595" t="str">
        <f>B18</f>
        <v>基础设施水平</v>
      </c>
      <c r="R18" s="1567" t="s">
        <v>8</v>
      </c>
      <c r="S18" s="1568">
        <f>F18</f>
        <v>100</v>
      </c>
      <c r="T18" s="1567" t="s">
        <v>8</v>
      </c>
      <c r="U18" s="1568">
        <f>H18</f>
        <v>100</v>
      </c>
      <c r="V18" s="1567" t="s">
        <v>8</v>
      </c>
      <c r="W18" s="1568">
        <f>J18</f>
        <v>100</v>
      </c>
      <c r="X18" s="2597"/>
      <c r="Y18" s="3491"/>
      <c r="Z18" s="2596" t="str">
        <f>Q18</f>
        <v>基础设施水平</v>
      </c>
      <c r="AA18" s="1570">
        <f t="shared" ref="AA18" si="8">D18/F18</f>
        <v>1</v>
      </c>
      <c r="AB18" s="1570">
        <f t="shared" ref="AB18" si="9">D18/H18</f>
        <v>1</v>
      </c>
      <c r="AC18" s="1570">
        <f t="shared" ref="AC18" si="10">D18/J18</f>
        <v>1</v>
      </c>
    </row>
    <row r="19" spans="1:29" ht="15">
      <c r="A19" s="512"/>
      <c r="B19" s="575"/>
      <c r="C19" s="870"/>
      <c r="D19" s="556"/>
      <c r="E19" s="573"/>
      <c r="F19" s="554"/>
      <c r="G19" s="573"/>
      <c r="H19" s="552"/>
      <c r="I19" s="573"/>
      <c r="J19" s="552"/>
      <c r="K19" s="2618"/>
      <c r="L19" s="2136"/>
      <c r="M19" s="2128"/>
      <c r="N19" s="2128"/>
      <c r="O19" s="2135"/>
      <c r="P19" s="3491"/>
      <c r="Q19" s="2595"/>
      <c r="R19" s="1567"/>
      <c r="S19" s="1568"/>
      <c r="T19" s="1567"/>
      <c r="U19" s="1568"/>
      <c r="V19" s="1567"/>
      <c r="W19" s="1568"/>
      <c r="X19" s="2597"/>
      <c r="Y19" s="3491"/>
      <c r="Z19" s="2596"/>
      <c r="AA19" s="1570">
        <v>1</v>
      </c>
      <c r="AB19" s="1570">
        <v>1</v>
      </c>
      <c r="AC19" s="1570">
        <v>1</v>
      </c>
    </row>
    <row r="20" spans="1:29" ht="28.5">
      <c r="A20" s="512"/>
      <c r="B20" s="557" t="s">
        <v>804</v>
      </c>
      <c r="C20" s="869" t="str">
        <f>IF(B1="工业",估价对象房地状况!G7,估价对象房地状况!C9)</f>
        <v>有公园，无人文，一般</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491"/>
      <c r="Q20" s="1566" t="str">
        <f>B20</f>
        <v>自然及人文环境</v>
      </c>
      <c r="R20" s="1567" t="s">
        <v>8</v>
      </c>
      <c r="S20" s="1568">
        <f>F20</f>
        <v>100</v>
      </c>
      <c r="T20" s="1567" t="s">
        <v>8</v>
      </c>
      <c r="U20" s="1568">
        <f>H20</f>
        <v>100</v>
      </c>
      <c r="V20" s="1567" t="s">
        <v>8</v>
      </c>
      <c r="W20" s="1568">
        <f>J20</f>
        <v>100</v>
      </c>
      <c r="X20" s="1561"/>
      <c r="Y20" s="3491"/>
      <c r="Z20" s="1569" t="str">
        <f>Q20</f>
        <v>自然及人文环境</v>
      </c>
      <c r="AA20" s="1570">
        <f t="shared" si="3"/>
        <v>1</v>
      </c>
      <c r="AB20" s="1570">
        <f t="shared" si="4"/>
        <v>1</v>
      </c>
      <c r="AC20" s="1570">
        <f t="shared" si="5"/>
        <v>1</v>
      </c>
    </row>
    <row r="21" spans="1:29" ht="15">
      <c r="A21" s="512"/>
      <c r="B21" s="563"/>
      <c r="C21" s="573"/>
      <c r="D21" s="552"/>
      <c r="E21" s="573"/>
      <c r="F21" s="554"/>
      <c r="G21" s="573"/>
      <c r="H21" s="552"/>
      <c r="I21" s="573"/>
      <c r="J21" s="552"/>
      <c r="K21" s="896"/>
      <c r="L21" s="2136"/>
      <c r="M21" s="2128"/>
      <c r="N21" s="2128"/>
      <c r="O21" s="2135"/>
      <c r="P21" s="3491"/>
      <c r="Q21" s="1566"/>
      <c r="R21" s="1567"/>
      <c r="S21" s="1568"/>
      <c r="T21" s="1567"/>
      <c r="U21" s="1568"/>
      <c r="V21" s="1567"/>
      <c r="W21" s="1568"/>
      <c r="X21" s="1561"/>
      <c r="Y21" s="3491"/>
      <c r="Z21" s="1569"/>
      <c r="AA21" s="1570">
        <v>1</v>
      </c>
      <c r="AB21" s="1570">
        <v>1</v>
      </c>
      <c r="AC21" s="1570">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491"/>
      <c r="Q22" s="1566" t="str">
        <f>B22</f>
        <v>楼层</v>
      </c>
      <c r="R22" s="1567" t="s">
        <v>8</v>
      </c>
      <c r="S22" s="1568">
        <f>F22</f>
        <v>100</v>
      </c>
      <c r="T22" s="1567" t="s">
        <v>8</v>
      </c>
      <c r="U22" s="1568">
        <f>H22</f>
        <v>100</v>
      </c>
      <c r="V22" s="1567" t="s">
        <v>8</v>
      </c>
      <c r="W22" s="1568">
        <f>J22</f>
        <v>100</v>
      </c>
      <c r="X22" s="1561"/>
      <c r="Y22" s="3491"/>
      <c r="Z22" s="1569" t="str">
        <f>Q22</f>
        <v>楼层</v>
      </c>
      <c r="AA22" s="1570">
        <f t="shared" si="3"/>
        <v>1</v>
      </c>
      <c r="AB22" s="1570">
        <f t="shared" si="4"/>
        <v>1</v>
      </c>
      <c r="AC22" s="157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491"/>
      <c r="Q23" s="1566">
        <f>B23</f>
        <v>111</v>
      </c>
      <c r="R23" s="1567" t="s">
        <v>8</v>
      </c>
      <c r="S23" s="1568">
        <f>F23</f>
        <v>100</v>
      </c>
      <c r="T23" s="1567" t="s">
        <v>8</v>
      </c>
      <c r="U23" s="1568">
        <f>H23</f>
        <v>100</v>
      </c>
      <c r="V23" s="1567" t="s">
        <v>8</v>
      </c>
      <c r="W23" s="1568">
        <f>J23</f>
        <v>100</v>
      </c>
      <c r="X23" s="1561"/>
      <c r="Y23" s="3491"/>
      <c r="Z23" s="1569">
        <f>Q23</f>
        <v>111</v>
      </c>
      <c r="AA23" s="1570">
        <f t="shared" si="3"/>
        <v>1</v>
      </c>
      <c r="AB23" s="1570">
        <f t="shared" si="4"/>
        <v>1</v>
      </c>
      <c r="AC23" s="157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491"/>
      <c r="Q24" s="1566">
        <f t="shared" ref="Q24:Q36" si="11">B24</f>
        <v>111</v>
      </c>
      <c r="R24" s="1567" t="s">
        <v>8</v>
      </c>
      <c r="S24" s="1568">
        <f>F24</f>
        <v>100</v>
      </c>
      <c r="T24" s="1567" t="s">
        <v>8</v>
      </c>
      <c r="U24" s="1568">
        <f>H24</f>
        <v>100</v>
      </c>
      <c r="V24" s="1567" t="s">
        <v>8</v>
      </c>
      <c r="W24" s="1568">
        <f>J24</f>
        <v>100</v>
      </c>
      <c r="X24" s="1561"/>
      <c r="Y24" s="3491"/>
      <c r="Z24" s="1569">
        <f>Q24</f>
        <v>111</v>
      </c>
      <c r="AA24" s="1570">
        <f t="shared" si="3"/>
        <v>1</v>
      </c>
      <c r="AB24" s="1570">
        <f t="shared" si="4"/>
        <v>1</v>
      </c>
      <c r="AC24" s="1570">
        <f t="shared" si="5"/>
        <v>1</v>
      </c>
    </row>
    <row r="25" spans="1:29" s="1215"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491"/>
      <c r="Q25" s="1146">
        <f t="shared" si="11"/>
        <v>111</v>
      </c>
      <c r="R25" s="1562" t="s">
        <v>8</v>
      </c>
      <c r="S25" s="1563">
        <f>F25</f>
        <v>100</v>
      </c>
      <c r="T25" s="1562" t="s">
        <v>8</v>
      </c>
      <c r="U25" s="1563">
        <f>H25</f>
        <v>100</v>
      </c>
      <c r="V25" s="1562" t="s">
        <v>8</v>
      </c>
      <c r="W25" s="1563">
        <f>J25</f>
        <v>100</v>
      </c>
      <c r="X25" s="1564"/>
      <c r="Y25" s="3491"/>
      <c r="Z25" s="1145">
        <f>Q25</f>
        <v>111</v>
      </c>
      <c r="AA25" s="1570">
        <f>D25/F25</f>
        <v>1</v>
      </c>
      <c r="AB25" s="1570">
        <f>D25/H25</f>
        <v>1</v>
      </c>
      <c r="AC25" s="1570">
        <f>D25/J25</f>
        <v>1</v>
      </c>
    </row>
    <row r="26" spans="1:29" ht="15">
      <c r="A26" s="2923" t="s">
        <v>2756</v>
      </c>
      <c r="B26" s="169"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492"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93" t="s">
        <v>550</v>
      </c>
      <c r="Z26" s="1569" t="str">
        <f t="shared" ref="Z26:Z36" si="15">Q26</f>
        <v>配套类型</v>
      </c>
      <c r="AA26" s="1570">
        <f t="shared" si="3"/>
        <v>1</v>
      </c>
      <c r="AB26" s="1570">
        <f t="shared" si="4"/>
        <v>1</v>
      </c>
      <c r="AC26" s="1570">
        <f t="shared" si="5"/>
        <v>1</v>
      </c>
    </row>
    <row r="27" spans="1:29" s="1334"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493"/>
      <c r="Q27" s="1599" t="str">
        <f t="shared" si="11"/>
        <v>项目停车位配比</v>
      </c>
      <c r="R27" s="1571" t="s">
        <v>8</v>
      </c>
      <c r="S27" s="1572">
        <f t="shared" si="12"/>
        <v>100</v>
      </c>
      <c r="T27" s="1571" t="s">
        <v>8</v>
      </c>
      <c r="U27" s="1572">
        <f t="shared" si="13"/>
        <v>100</v>
      </c>
      <c r="V27" s="1571" t="s">
        <v>8</v>
      </c>
      <c r="W27" s="1572">
        <f t="shared" si="14"/>
        <v>100</v>
      </c>
      <c r="X27" s="1573"/>
      <c r="Y27" s="3493"/>
      <c r="Z27" s="1574" t="str">
        <f t="shared" si="15"/>
        <v>项目停车位配比</v>
      </c>
      <c r="AA27" s="1570">
        <f t="shared" si="3"/>
        <v>1</v>
      </c>
      <c r="AB27" s="1570">
        <f t="shared" si="4"/>
        <v>1</v>
      </c>
      <c r="AC27" s="1570">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493"/>
      <c r="Q28" s="1566" t="str">
        <f t="shared" si="11"/>
        <v>公共部分装修</v>
      </c>
      <c r="R28" s="1567" t="s">
        <v>8</v>
      </c>
      <c r="S28" s="1568">
        <f t="shared" si="12"/>
        <v>100</v>
      </c>
      <c r="T28" s="1567" t="s">
        <v>8</v>
      </c>
      <c r="U28" s="1568">
        <f t="shared" si="13"/>
        <v>100</v>
      </c>
      <c r="V28" s="1567" t="s">
        <v>8</v>
      </c>
      <c r="W28" s="1568">
        <f t="shared" si="14"/>
        <v>100</v>
      </c>
      <c r="X28" s="1561"/>
      <c r="Y28" s="3493"/>
      <c r="Z28" s="1569" t="str">
        <f t="shared" si="15"/>
        <v>公共部分装修</v>
      </c>
      <c r="AA28" s="1570">
        <f t="shared" si="3"/>
        <v>1</v>
      </c>
      <c r="AB28" s="1570">
        <f t="shared" si="4"/>
        <v>1</v>
      </c>
      <c r="AC28" s="1570">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493"/>
      <c r="Q29" s="1566" t="str">
        <f t="shared" si="11"/>
        <v>成新率</v>
      </c>
      <c r="R29" s="1567" t="s">
        <v>8</v>
      </c>
      <c r="S29" s="1568" t="e">
        <f t="shared" si="12"/>
        <v>#N/A</v>
      </c>
      <c r="T29" s="1567" t="s">
        <v>8</v>
      </c>
      <c r="U29" s="1568" t="e">
        <f t="shared" si="13"/>
        <v>#N/A</v>
      </c>
      <c r="V29" s="1567" t="s">
        <v>8</v>
      </c>
      <c r="W29" s="1568" t="e">
        <f t="shared" si="14"/>
        <v>#N/A</v>
      </c>
      <c r="X29" s="1561"/>
      <c r="Y29" s="3493"/>
      <c r="Z29" s="1569" t="str">
        <f t="shared" si="15"/>
        <v>成新率</v>
      </c>
      <c r="AA29" s="1570" t="e">
        <f t="shared" si="3"/>
        <v>#N/A</v>
      </c>
      <c r="AB29" s="1570" t="e">
        <f t="shared" si="4"/>
        <v>#N/A</v>
      </c>
      <c r="AC29" s="1570"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493"/>
      <c r="Q30" s="1566" t="str">
        <f t="shared" si="11"/>
        <v>物业等级</v>
      </c>
      <c r="R30" s="1567" t="s">
        <v>8</v>
      </c>
      <c r="S30" s="1568">
        <f t="shared" si="12"/>
        <v>100</v>
      </c>
      <c r="T30" s="1567" t="s">
        <v>8</v>
      </c>
      <c r="U30" s="1568">
        <f t="shared" si="13"/>
        <v>100</v>
      </c>
      <c r="V30" s="1567" t="s">
        <v>8</v>
      </c>
      <c r="W30" s="1568">
        <f t="shared" si="14"/>
        <v>100</v>
      </c>
      <c r="X30" s="1561"/>
      <c r="Y30" s="3493"/>
      <c r="Z30" s="1569" t="str">
        <f t="shared" si="15"/>
        <v>物业等级</v>
      </c>
      <c r="AA30" s="1570">
        <f t="shared" si="3"/>
        <v>1</v>
      </c>
      <c r="AB30" s="1570">
        <f t="shared" si="4"/>
        <v>1</v>
      </c>
      <c r="AC30" s="1570">
        <f t="shared" si="5"/>
        <v>1</v>
      </c>
    </row>
    <row r="31" spans="1:29" s="1215"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493"/>
      <c r="Q31" s="1146" t="str">
        <f t="shared" si="11"/>
        <v>停车位面积</v>
      </c>
      <c r="R31" s="1562" t="s">
        <v>8</v>
      </c>
      <c r="S31" s="1563" t="e">
        <f t="shared" si="12"/>
        <v>#N/A</v>
      </c>
      <c r="T31" s="1562" t="s">
        <v>8</v>
      </c>
      <c r="U31" s="1563" t="e">
        <f t="shared" si="13"/>
        <v>#N/A</v>
      </c>
      <c r="V31" s="1562" t="s">
        <v>8</v>
      </c>
      <c r="W31" s="1563" t="e">
        <f t="shared" si="14"/>
        <v>#N/A</v>
      </c>
      <c r="X31" s="1564"/>
      <c r="Y31" s="3493"/>
      <c r="Z31" s="1145" t="str">
        <f t="shared" si="15"/>
        <v>停车位面积</v>
      </c>
      <c r="AA31" s="1565" t="e">
        <f t="shared" si="3"/>
        <v>#N/A</v>
      </c>
      <c r="AB31" s="1565" t="e">
        <f t="shared" si="4"/>
        <v>#N/A</v>
      </c>
      <c r="AC31" s="1565"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493" t="s">
        <v>550</v>
      </c>
      <c r="Q32" s="1566" t="str">
        <f t="shared" si="11"/>
        <v>车位类型</v>
      </c>
      <c r="R32" s="1567" t="s">
        <v>8</v>
      </c>
      <c r="S32" s="1568">
        <f t="shared" si="12"/>
        <v>100</v>
      </c>
      <c r="T32" s="1567" t="s">
        <v>8</v>
      </c>
      <c r="U32" s="1568">
        <f t="shared" si="13"/>
        <v>100</v>
      </c>
      <c r="V32" s="1567" t="s">
        <v>8</v>
      </c>
      <c r="W32" s="1568">
        <f t="shared" si="14"/>
        <v>100</v>
      </c>
      <c r="X32" s="1561"/>
      <c r="Y32" s="3493" t="s">
        <v>550</v>
      </c>
      <c r="Z32" s="1569" t="str">
        <f t="shared" si="15"/>
        <v>车位类型</v>
      </c>
      <c r="AA32" s="1570">
        <f t="shared" si="3"/>
        <v>1</v>
      </c>
      <c r="AB32" s="1570">
        <f t="shared" si="4"/>
        <v>1</v>
      </c>
      <c r="AC32" s="1570">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493"/>
      <c r="Q33" s="1566" t="str">
        <f t="shared" si="11"/>
        <v>是否直接入户</v>
      </c>
      <c r="R33" s="1567" t="s">
        <v>8</v>
      </c>
      <c r="S33" s="1568">
        <f t="shared" si="12"/>
        <v>100</v>
      </c>
      <c r="T33" s="1567" t="s">
        <v>8</v>
      </c>
      <c r="U33" s="1568">
        <f t="shared" si="13"/>
        <v>100</v>
      </c>
      <c r="V33" s="1567" t="s">
        <v>8</v>
      </c>
      <c r="W33" s="1568">
        <f t="shared" si="14"/>
        <v>100</v>
      </c>
      <c r="X33" s="1561"/>
      <c r="Y33" s="3493"/>
      <c r="Z33" s="1569" t="str">
        <f t="shared" si="15"/>
        <v>是否直接入户</v>
      </c>
      <c r="AA33" s="1570">
        <f t="shared" si="3"/>
        <v>1</v>
      </c>
      <c r="AB33" s="1570">
        <f t="shared" si="4"/>
        <v>1</v>
      </c>
      <c r="AC33" s="157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493"/>
      <c r="Q34" s="1566">
        <f t="shared" si="11"/>
        <v>111</v>
      </c>
      <c r="R34" s="1567" t="s">
        <v>8</v>
      </c>
      <c r="S34" s="1568">
        <f t="shared" si="12"/>
        <v>100</v>
      </c>
      <c r="T34" s="1567" t="s">
        <v>8</v>
      </c>
      <c r="U34" s="1568">
        <f t="shared" si="13"/>
        <v>100</v>
      </c>
      <c r="V34" s="1567" t="s">
        <v>8</v>
      </c>
      <c r="W34" s="1568">
        <f t="shared" si="14"/>
        <v>100</v>
      </c>
      <c r="X34" s="1561"/>
      <c r="Y34" s="3493"/>
      <c r="Z34" s="1569">
        <f t="shared" si="15"/>
        <v>111</v>
      </c>
      <c r="AA34" s="1570">
        <f t="shared" si="3"/>
        <v>1</v>
      </c>
      <c r="AB34" s="1570">
        <f t="shared" si="4"/>
        <v>1</v>
      </c>
      <c r="AC34" s="1570">
        <f t="shared" si="5"/>
        <v>1</v>
      </c>
    </row>
    <row r="35" spans="1:29" s="1334"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493"/>
      <c r="Q35" s="1599">
        <f t="shared" si="11"/>
        <v>111</v>
      </c>
      <c r="R35" s="1571" t="s">
        <v>8</v>
      </c>
      <c r="S35" s="1572">
        <f t="shared" si="12"/>
        <v>100</v>
      </c>
      <c r="T35" s="1571" t="s">
        <v>8</v>
      </c>
      <c r="U35" s="1572">
        <f t="shared" si="13"/>
        <v>100</v>
      </c>
      <c r="V35" s="1571" t="s">
        <v>8</v>
      </c>
      <c r="W35" s="1572">
        <f t="shared" si="14"/>
        <v>100</v>
      </c>
      <c r="X35" s="1573"/>
      <c r="Y35" s="3493"/>
      <c r="Z35" s="1574">
        <f t="shared" si="15"/>
        <v>111</v>
      </c>
      <c r="AA35" s="1570">
        <f t="shared" si="3"/>
        <v>1</v>
      </c>
      <c r="AB35" s="1570">
        <f t="shared" si="4"/>
        <v>1</v>
      </c>
      <c r="AC35" s="157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493"/>
      <c r="Q36" s="1566">
        <f t="shared" si="11"/>
        <v>111</v>
      </c>
      <c r="R36" s="1567" t="s">
        <v>8</v>
      </c>
      <c r="S36" s="1568">
        <f t="shared" si="12"/>
        <v>100</v>
      </c>
      <c r="T36" s="1567" t="s">
        <v>8</v>
      </c>
      <c r="U36" s="1568">
        <f t="shared" si="13"/>
        <v>100</v>
      </c>
      <c r="V36" s="1567" t="s">
        <v>8</v>
      </c>
      <c r="W36" s="1568">
        <f t="shared" si="14"/>
        <v>100</v>
      </c>
      <c r="X36" s="1561"/>
      <c r="Y36" s="3493"/>
      <c r="Z36" s="1569">
        <f t="shared" si="15"/>
        <v>111</v>
      </c>
      <c r="AA36" s="1570">
        <f t="shared" si="3"/>
        <v>1</v>
      </c>
      <c r="AB36" s="1570">
        <f t="shared" si="4"/>
        <v>1</v>
      </c>
      <c r="AC36" s="1570">
        <f t="shared" si="5"/>
        <v>1</v>
      </c>
    </row>
    <row r="37" spans="1:29" ht="15">
      <c r="A37" s="1840" t="s">
        <v>2077</v>
      </c>
      <c r="B37" s="1841" t="s">
        <v>2078</v>
      </c>
      <c r="C37" s="2643" t="s">
        <v>1</v>
      </c>
      <c r="D37" s="2644"/>
      <c r="E37" s="2645"/>
      <c r="F37" s="2646"/>
      <c r="G37" s="2647"/>
      <c r="H37" s="2648"/>
      <c r="I37" s="2645"/>
      <c r="J37" s="2648"/>
      <c r="K37" s="1605"/>
      <c r="L37" s="2138"/>
      <c r="M37" s="2139"/>
      <c r="N37" s="2128"/>
      <c r="O37" s="2139"/>
      <c r="P37" s="3488" t="str">
        <f>A37</f>
        <v>成交单价</v>
      </c>
      <c r="Q37" s="3488"/>
      <c r="R37" s="3567">
        <f>E37</f>
        <v>0</v>
      </c>
      <c r="S37" s="3567"/>
      <c r="T37" s="3567">
        <f>G37</f>
        <v>0</v>
      </c>
      <c r="U37" s="3567"/>
      <c r="V37" s="3567">
        <f>I37</f>
        <v>0</v>
      </c>
      <c r="W37" s="3567"/>
      <c r="X37" s="1553"/>
      <c r="Y37" s="1575"/>
      <c r="Z37" s="1553"/>
      <c r="AA37" s="1553"/>
      <c r="AB37" s="1553"/>
      <c r="AC37" s="1553"/>
    </row>
    <row r="38" spans="1:29" ht="15.75" thickBot="1">
      <c r="A38" s="612" t="s">
        <v>2761</v>
      </c>
      <c r="B38" s="885"/>
      <c r="C38" s="2649" t="e">
        <f>R39</f>
        <v>#DIV/0!</v>
      </c>
      <c r="D38" s="2650"/>
      <c r="E38" s="2651" t="e">
        <f>R38</f>
        <v>#DIV/0!</v>
      </c>
      <c r="F38" s="2651"/>
      <c r="G38" s="2649" t="e">
        <f>T38</f>
        <v>#DIV/0!</v>
      </c>
      <c r="H38" s="2650"/>
      <c r="I38" s="2651" t="e">
        <f>V38</f>
        <v>#DIV/0!</v>
      </c>
      <c r="J38" s="2650"/>
      <c r="K38" s="1606"/>
      <c r="L38" s="2138"/>
      <c r="M38" s="2139"/>
      <c r="N38" s="2139"/>
      <c r="O38" s="2139"/>
      <c r="P38" s="3488" t="str">
        <f>A38</f>
        <v>比较价格（元/平方米）</v>
      </c>
      <c r="Q38" s="3488"/>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1553"/>
      <c r="Y38" s="1553"/>
      <c r="Z38" s="1553"/>
      <c r="AA38" s="1553"/>
      <c r="AB38" s="1553"/>
      <c r="AC38" s="1553"/>
    </row>
    <row r="39" spans="1:29" ht="15.75" thickBot="1">
      <c r="A39" s="618" t="s">
        <v>2930</v>
      </c>
      <c r="B39" s="619"/>
      <c r="C39" s="2652" t="e">
        <f>R39</f>
        <v>#DIV/0!</v>
      </c>
      <c r="D39" s="2652"/>
      <c r="E39" s="2652"/>
      <c r="F39" s="2652"/>
      <c r="G39" s="2652"/>
      <c r="H39" s="2652"/>
      <c r="I39" s="2652"/>
      <c r="J39" s="2652"/>
      <c r="K39" s="1607"/>
      <c r="L39" s="2138"/>
      <c r="M39" s="2139"/>
      <c r="N39" s="2139"/>
      <c r="O39" s="2139"/>
      <c r="P39" s="3509" t="str">
        <f>A39</f>
        <v>估价对象XX用房的比较价格（楼面单价，元/平方米）</v>
      </c>
      <c r="Q39" s="3510"/>
      <c r="R39" s="3566" t="e">
        <f>IF(F1="售价",ROUND(AVERAGE(R38:V38),0),ROUND(AVERAGE(R38:V38),1))</f>
        <v>#DIV/0!</v>
      </c>
      <c r="S39" s="3566"/>
      <c r="T39" s="3566"/>
      <c r="U39" s="3566"/>
      <c r="V39" s="3566"/>
      <c r="W39" s="3566"/>
      <c r="X39" s="1553"/>
      <c r="Y39" s="1553"/>
      <c r="Z39" s="1553"/>
      <c r="AA39" s="1553"/>
      <c r="AB39" s="1553"/>
      <c r="AC39" s="1553"/>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8" t="s">
        <v>574</v>
      </c>
      <c r="B47" s="1553"/>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2" t="s">
        <v>529</v>
      </c>
      <c r="B48" s="643"/>
      <c r="C48" s="2818" t="str">
        <f>YEAR(C7)&amp;"-"&amp;MONTH(C7)</f>
        <v>2018-8</v>
      </c>
      <c r="D48" s="2820">
        <f>EDATE(C48,-1)</f>
        <v>43282</v>
      </c>
      <c r="E48" s="2820">
        <f t="shared" ref="E48:O48" si="16">EDATE(D48,-1)</f>
        <v>43252</v>
      </c>
      <c r="F48" s="2820">
        <f t="shared" si="16"/>
        <v>43221</v>
      </c>
      <c r="G48" s="2820">
        <f t="shared" si="16"/>
        <v>43191</v>
      </c>
      <c r="H48" s="2820">
        <f t="shared" si="16"/>
        <v>43160</v>
      </c>
      <c r="I48" s="2820">
        <f t="shared" si="16"/>
        <v>43132</v>
      </c>
      <c r="J48" s="2820">
        <f t="shared" si="16"/>
        <v>43101</v>
      </c>
      <c r="K48" s="2820">
        <f t="shared" si="16"/>
        <v>43070</v>
      </c>
      <c r="L48" s="2820">
        <f t="shared" si="16"/>
        <v>43040</v>
      </c>
      <c r="M48" s="2820">
        <f t="shared" si="16"/>
        <v>43009</v>
      </c>
      <c r="N48" s="2820">
        <f t="shared" si="16"/>
        <v>42979</v>
      </c>
      <c r="O48" s="2820">
        <f t="shared" si="16"/>
        <v>42948</v>
      </c>
      <c r="P48" s="2154"/>
      <c r="Q48" s="2155"/>
      <c r="R48" s="2155"/>
      <c r="S48" s="2155"/>
      <c r="T48" s="2155"/>
      <c r="U48" s="2155"/>
      <c r="V48" s="2155"/>
      <c r="W48" s="2155"/>
      <c r="X48" s="2155"/>
      <c r="Y48" s="2155"/>
      <c r="Z48" s="2155"/>
      <c r="AA48" s="2155"/>
      <c r="AB48" s="2155"/>
      <c r="AC48" s="2155"/>
    </row>
    <row r="49" spans="1:29" s="1215" customFormat="1" ht="15">
      <c r="A49" s="644"/>
      <c r="B49" s="645"/>
      <c r="C49" s="2819">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5"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5"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2558</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3" t="s">
        <v>2559</v>
      </c>
      <c r="C67" s="2614" t="s">
        <v>2560</v>
      </c>
      <c r="D67" s="2614" t="s">
        <v>2561</v>
      </c>
      <c r="E67" s="2614" t="s">
        <v>2562</v>
      </c>
      <c r="F67" s="2614" t="s">
        <v>2563</v>
      </c>
      <c r="G67" s="2614" t="s">
        <v>2564</v>
      </c>
      <c r="H67" s="671"/>
      <c r="I67" s="671"/>
      <c r="J67" s="671"/>
      <c r="K67" s="671"/>
      <c r="L67" s="671"/>
      <c r="M67" s="2617"/>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4"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9" t="s">
        <v>718</v>
      </c>
      <c r="B1" s="920"/>
      <c r="C1" s="501" t="s">
        <v>792</v>
      </c>
      <c r="D1" s="846"/>
      <c r="E1" s="503"/>
      <c r="F1" s="2823"/>
      <c r="G1" s="1595" t="s">
        <v>793</v>
      </c>
      <c r="H1" s="503"/>
      <c r="I1" s="503"/>
      <c r="J1" s="503"/>
      <c r="K1" s="504"/>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20" t="s">
        <v>794</v>
      </c>
      <c r="B2" s="847" t="e">
        <f>ROUND(B3*D3/10000,0)</f>
        <v>#DIV/0!</v>
      </c>
      <c r="C2" s="2121"/>
      <c r="D2" s="2121"/>
      <c r="E2" s="2122"/>
      <c r="F2" s="2123"/>
      <c r="G2" s="2122"/>
      <c r="H2" s="2122"/>
      <c r="I2" s="2122"/>
      <c r="J2" s="2122"/>
      <c r="K2" s="2124"/>
      <c r="L2" s="2125"/>
      <c r="M2" s="2126"/>
      <c r="N2" s="2126"/>
      <c r="O2" s="2126"/>
      <c r="P2" s="1558"/>
      <c r="Q2" s="1558"/>
      <c r="R2" s="1558"/>
      <c r="S2" s="1558"/>
      <c r="T2" s="1558"/>
      <c r="U2" s="1558"/>
      <c r="V2" s="1558"/>
      <c r="W2" s="1558"/>
      <c r="X2" s="1558"/>
      <c r="Y2" s="1558"/>
      <c r="Z2" s="1558"/>
      <c r="AA2" s="1558"/>
      <c r="AB2" s="1558"/>
      <c r="AC2" s="1559"/>
    </row>
    <row r="3" spans="1:29" s="1331"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8"/>
      <c r="Q3" s="1558"/>
      <c r="R3" s="1558"/>
      <c r="S3" s="1558"/>
      <c r="T3" s="1558"/>
      <c r="U3" s="1558"/>
      <c r="V3" s="1558"/>
      <c r="W3" s="1558"/>
      <c r="X3" s="1558"/>
      <c r="Y3" s="1558"/>
      <c r="Z3" s="1558"/>
      <c r="AA3" s="1558"/>
      <c r="AB3" s="1560"/>
      <c r="AC3" s="425"/>
    </row>
    <row r="4" spans="1:29" ht="15">
      <c r="A4" s="509" t="s">
        <v>797</v>
      </c>
      <c r="B4" s="510"/>
      <c r="C4" s="3494" t="s">
        <v>798</v>
      </c>
      <c r="D4" s="3495"/>
      <c r="E4" s="3518" t="s">
        <v>799</v>
      </c>
      <c r="F4" s="3519"/>
      <c r="G4" s="3494" t="s">
        <v>800</v>
      </c>
      <c r="H4" s="3495"/>
      <c r="I4" s="3494" t="s">
        <v>801</v>
      </c>
      <c r="J4" s="3495"/>
      <c r="K4" s="511" t="s">
        <v>802</v>
      </c>
      <c r="L4" s="2127"/>
      <c r="M4" s="2128"/>
      <c r="N4" s="2128"/>
      <c r="O4" s="2128"/>
      <c r="P4" s="3496" t="s">
        <v>803</v>
      </c>
      <c r="Q4" s="3497"/>
      <c r="R4" s="3482" t="s">
        <v>799</v>
      </c>
      <c r="S4" s="3483"/>
      <c r="T4" s="3482" t="s">
        <v>800</v>
      </c>
      <c r="U4" s="3483"/>
      <c r="V4" s="3502" t="s">
        <v>801</v>
      </c>
      <c r="W4" s="3502"/>
      <c r="X4" s="1561"/>
      <c r="Y4" s="3482" t="s">
        <v>803</v>
      </c>
      <c r="Z4" s="3483"/>
      <c r="AA4" s="3477" t="s">
        <v>799</v>
      </c>
      <c r="AB4" s="3478" t="s">
        <v>800</v>
      </c>
      <c r="AC4" s="3477" t="s">
        <v>801</v>
      </c>
    </row>
    <row r="5" spans="1:29" ht="15">
      <c r="A5" s="512"/>
      <c r="B5" s="513"/>
      <c r="C5" s="3505" t="s">
        <v>2924</v>
      </c>
      <c r="D5" s="3506"/>
      <c r="E5" s="3520" t="s">
        <v>2925</v>
      </c>
      <c r="F5" s="3521"/>
      <c r="G5" s="3505" t="s">
        <v>2926</v>
      </c>
      <c r="H5" s="3506"/>
      <c r="I5" s="3505" t="s">
        <v>2927</v>
      </c>
      <c r="J5" s="3506"/>
      <c r="K5" s="511"/>
      <c r="L5" s="2127"/>
      <c r="M5" s="2128"/>
      <c r="N5" s="2128"/>
      <c r="O5" s="2128"/>
      <c r="P5" s="3498"/>
      <c r="Q5" s="3499"/>
      <c r="R5" s="3484"/>
      <c r="S5" s="3485"/>
      <c r="T5" s="3484"/>
      <c r="U5" s="3485"/>
      <c r="V5" s="3502"/>
      <c r="W5" s="3502"/>
      <c r="X5" s="1561"/>
      <c r="Y5" s="3484"/>
      <c r="Z5" s="3485"/>
      <c r="AA5" s="3478"/>
      <c r="AB5" s="3478"/>
      <c r="AC5" s="3478"/>
    </row>
    <row r="6" spans="1:29" ht="15.75" thickBot="1">
      <c r="A6" s="514"/>
      <c r="B6" s="515"/>
      <c r="C6" s="3503" t="s">
        <v>2928</v>
      </c>
      <c r="D6" s="3504"/>
      <c r="E6" s="3522" t="s">
        <v>2928</v>
      </c>
      <c r="F6" s="3523"/>
      <c r="G6" s="3503" t="s">
        <v>2928</v>
      </c>
      <c r="H6" s="3504"/>
      <c r="I6" s="3503" t="s">
        <v>2928</v>
      </c>
      <c r="J6" s="3504"/>
      <c r="K6" s="511" t="s">
        <v>528</v>
      </c>
      <c r="L6" s="2127"/>
      <c r="M6" s="2128"/>
      <c r="N6" s="2128"/>
      <c r="O6" s="2128"/>
      <c r="P6" s="3500"/>
      <c r="Q6" s="3501"/>
      <c r="R6" s="3484"/>
      <c r="S6" s="3485"/>
      <c r="T6" s="3486"/>
      <c r="U6" s="3487"/>
      <c r="V6" s="3502"/>
      <c r="W6" s="3502"/>
      <c r="X6" s="1561"/>
      <c r="Y6" s="3486"/>
      <c r="Z6" s="3487"/>
      <c r="AA6" s="3479"/>
      <c r="AB6" s="3479"/>
      <c r="AC6" s="3479"/>
    </row>
    <row r="7" spans="1:29" s="1215" customFormat="1" ht="15.75" thickBot="1">
      <c r="A7" s="2928"/>
      <c r="B7" s="2935" t="s">
        <v>529</v>
      </c>
      <c r="C7" s="516">
        <f>'数据-取费表'!B2</f>
        <v>43313</v>
      </c>
      <c r="D7" s="517">
        <v>100</v>
      </c>
      <c r="E7" s="518"/>
      <c r="F7" s="519">
        <f>SUMIF(46:46,YEAR(E7)&amp;"-"&amp;MONTH(E7),47:47)</f>
        <v>0</v>
      </c>
      <c r="G7" s="520"/>
      <c r="H7" s="517">
        <f>SUMIF(46:46,YEAR(G7)&amp;"-"&amp;MONTH(G7),47:47)</f>
        <v>0</v>
      </c>
      <c r="I7" s="520"/>
      <c r="J7" s="517">
        <f>SUMIF(46:46,YEAR(I7)&amp;"-"&amp;MONTH(I7),47:47)</f>
        <v>0</v>
      </c>
      <c r="K7" s="521"/>
      <c r="L7" s="2129"/>
      <c r="M7" s="2130"/>
      <c r="N7" s="2130"/>
      <c r="O7" s="2130"/>
      <c r="P7" s="3480" t="s">
        <v>530</v>
      </c>
      <c r="Q7" s="3489"/>
      <c r="R7" s="1562" t="s">
        <v>8</v>
      </c>
      <c r="S7" s="1563">
        <f t="shared" ref="S7:S14" si="0">F7</f>
        <v>0</v>
      </c>
      <c r="T7" s="1562" t="s">
        <v>8</v>
      </c>
      <c r="U7" s="1563">
        <f t="shared" ref="U7:U14" si="1">H7</f>
        <v>0</v>
      </c>
      <c r="V7" s="1562" t="s">
        <v>8</v>
      </c>
      <c r="W7" s="1563">
        <f t="shared" ref="W7:W14" si="2">J7</f>
        <v>0</v>
      </c>
      <c r="X7" s="1564"/>
      <c r="Y7" s="3480" t="s">
        <v>530</v>
      </c>
      <c r="Z7" s="3481"/>
      <c r="AA7" s="1565" t="e">
        <f>D7/F7</f>
        <v>#DIV/0!</v>
      </c>
      <c r="AB7" s="1565" t="e">
        <f>D7/H7</f>
        <v>#DIV/0!</v>
      </c>
      <c r="AC7" s="1565" t="e">
        <f>D7/J7</f>
        <v>#DIV/0!</v>
      </c>
    </row>
    <row r="8" spans="1:29" s="1215" customFormat="1" ht="15.75" thickBot="1">
      <c r="A8" s="2929"/>
      <c r="B8" s="2936"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480" t="s">
        <v>533</v>
      </c>
      <c r="Q8" s="3481"/>
      <c r="R8" s="1562" t="s">
        <v>8</v>
      </c>
      <c r="S8" s="1563">
        <f t="shared" si="0"/>
        <v>0</v>
      </c>
      <c r="T8" s="1562" t="s">
        <v>8</v>
      </c>
      <c r="U8" s="1563">
        <f t="shared" si="1"/>
        <v>0</v>
      </c>
      <c r="V8" s="1562" t="s">
        <v>8</v>
      </c>
      <c r="W8" s="1563">
        <f t="shared" si="2"/>
        <v>0</v>
      </c>
      <c r="X8" s="1564"/>
      <c r="Y8" s="3480" t="s">
        <v>533</v>
      </c>
      <c r="Z8" s="3481"/>
      <c r="AA8" s="1565" t="e">
        <f t="shared" ref="AA8:AA34" si="3">D8/F8</f>
        <v>#DIV/0!</v>
      </c>
      <c r="AB8" s="1565" t="e">
        <f t="shared" ref="AB8:AB34" si="4">D8/H8</f>
        <v>#DIV/0!</v>
      </c>
      <c r="AC8" s="1565" t="e">
        <f t="shared" ref="AC8:AC34" si="5">D8/J8</f>
        <v>#DIV/0!</v>
      </c>
    </row>
    <row r="9" spans="1:29" s="1215" customFormat="1" ht="15">
      <c r="A9" s="2930"/>
      <c r="B9" s="2937" t="s">
        <v>2757</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488" t="s">
        <v>535</v>
      </c>
      <c r="Q9" s="1146" t="str">
        <f t="shared" ref="Q9:Q14" si="6">B9</f>
        <v>用途</v>
      </c>
      <c r="R9" s="1562" t="s">
        <v>8</v>
      </c>
      <c r="S9" s="1563">
        <f t="shared" si="0"/>
        <v>100</v>
      </c>
      <c r="T9" s="1562" t="s">
        <v>8</v>
      </c>
      <c r="U9" s="1563">
        <f t="shared" si="1"/>
        <v>100</v>
      </c>
      <c r="V9" s="1562" t="s">
        <v>8</v>
      </c>
      <c r="W9" s="1563">
        <f t="shared" si="2"/>
        <v>100</v>
      </c>
      <c r="X9" s="1564"/>
      <c r="Y9" s="3445" t="s">
        <v>536</v>
      </c>
      <c r="Z9" s="1145" t="str">
        <f t="shared" ref="Z9:Z14" si="7">Q9</f>
        <v>用途</v>
      </c>
      <c r="AA9" s="1565">
        <f t="shared" si="3"/>
        <v>1</v>
      </c>
      <c r="AB9" s="1565">
        <f t="shared" si="4"/>
        <v>1</v>
      </c>
      <c r="AC9" s="1565">
        <f t="shared" si="5"/>
        <v>1</v>
      </c>
    </row>
    <row r="10" spans="1:29" s="1333" customFormat="1" ht="27">
      <c r="A10" s="2931"/>
      <c r="B10" s="2936" t="s">
        <v>2758</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488"/>
      <c r="Q10" s="1146" t="str">
        <f t="shared" si="6"/>
        <v>土地使用年限（年）</v>
      </c>
      <c r="R10" s="1562" t="s">
        <v>8</v>
      </c>
      <c r="S10" s="1563">
        <f t="shared" si="0"/>
        <v>100</v>
      </c>
      <c r="T10" s="1562" t="s">
        <v>8</v>
      </c>
      <c r="U10" s="1563">
        <f t="shared" si="1"/>
        <v>100</v>
      </c>
      <c r="V10" s="1562" t="s">
        <v>8</v>
      </c>
      <c r="W10" s="1563">
        <f t="shared" si="2"/>
        <v>100</v>
      </c>
      <c r="X10" s="1564"/>
      <c r="Y10" s="3445"/>
      <c r="Z10" s="1145" t="str">
        <f t="shared" si="7"/>
        <v>土地使用年限（年）</v>
      </c>
      <c r="AA10" s="1565">
        <f t="shared" si="3"/>
        <v>1</v>
      </c>
      <c r="AB10" s="1565">
        <f t="shared" si="4"/>
        <v>1</v>
      </c>
      <c r="AC10" s="1565">
        <f t="shared" si="5"/>
        <v>1</v>
      </c>
    </row>
    <row r="11" spans="1:29" ht="15">
      <c r="A11" s="2933"/>
      <c r="B11" s="2939">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488"/>
      <c r="Q11" s="1146">
        <f t="shared" si="6"/>
        <v>111</v>
      </c>
      <c r="R11" s="1562" t="s">
        <v>8</v>
      </c>
      <c r="S11" s="1563">
        <f t="shared" si="0"/>
        <v>100</v>
      </c>
      <c r="T11" s="1562" t="s">
        <v>8</v>
      </c>
      <c r="U11" s="1563">
        <f t="shared" si="1"/>
        <v>100</v>
      </c>
      <c r="V11" s="1562" t="s">
        <v>8</v>
      </c>
      <c r="W11" s="1563">
        <f t="shared" si="2"/>
        <v>100</v>
      </c>
      <c r="X11" s="1564"/>
      <c r="Y11" s="3445"/>
      <c r="Z11" s="1145">
        <f t="shared" si="7"/>
        <v>111</v>
      </c>
      <c r="AA11" s="1565">
        <f t="shared" si="3"/>
        <v>1</v>
      </c>
      <c r="AB11" s="1565">
        <f t="shared" si="4"/>
        <v>1</v>
      </c>
      <c r="AC11" s="1565">
        <f t="shared" si="5"/>
        <v>1</v>
      </c>
    </row>
    <row r="12" spans="1:29" s="1215" customFormat="1" ht="15">
      <c r="A12" s="2933"/>
      <c r="B12" s="2939">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488"/>
      <c r="Q12" s="1146">
        <f t="shared" si="6"/>
        <v>111</v>
      </c>
      <c r="R12" s="1562" t="s">
        <v>8</v>
      </c>
      <c r="S12" s="1563">
        <f t="shared" si="0"/>
        <v>100</v>
      </c>
      <c r="T12" s="1562" t="s">
        <v>8</v>
      </c>
      <c r="U12" s="1563">
        <f t="shared" si="1"/>
        <v>100</v>
      </c>
      <c r="V12" s="1562" t="s">
        <v>8</v>
      </c>
      <c r="W12" s="1563">
        <f t="shared" si="2"/>
        <v>100</v>
      </c>
      <c r="X12" s="1564"/>
      <c r="Y12" s="3445"/>
      <c r="Z12" s="1145">
        <f t="shared" si="7"/>
        <v>111</v>
      </c>
      <c r="AA12" s="1565">
        <f>D12/F12</f>
        <v>1</v>
      </c>
      <c r="AB12" s="1565">
        <f>D12/H12</f>
        <v>1</v>
      </c>
      <c r="AC12" s="1565">
        <f>D12/J12</f>
        <v>1</v>
      </c>
    </row>
    <row r="13" spans="1:29" ht="15.75" thickBot="1">
      <c r="A13" s="2934"/>
      <c r="B13" s="2940">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488"/>
      <c r="Q13" s="1146">
        <f t="shared" si="6"/>
        <v>111</v>
      </c>
      <c r="R13" s="1562" t="s">
        <v>8</v>
      </c>
      <c r="S13" s="1563">
        <f t="shared" si="0"/>
        <v>100</v>
      </c>
      <c r="T13" s="1562" t="s">
        <v>8</v>
      </c>
      <c r="U13" s="1563">
        <f t="shared" si="1"/>
        <v>100</v>
      </c>
      <c r="V13" s="1562" t="s">
        <v>8</v>
      </c>
      <c r="W13" s="1563">
        <f t="shared" si="2"/>
        <v>100</v>
      </c>
      <c r="X13" s="1564"/>
      <c r="Y13" s="3445"/>
      <c r="Z13" s="1145">
        <f t="shared" si="7"/>
        <v>111</v>
      </c>
      <c r="AA13" s="1565">
        <f t="shared" si="3"/>
        <v>1</v>
      </c>
      <c r="AB13" s="1565">
        <f t="shared" si="4"/>
        <v>1</v>
      </c>
      <c r="AC13" s="1565">
        <f t="shared" si="5"/>
        <v>1</v>
      </c>
    </row>
    <row r="14" spans="1:29" ht="57">
      <c r="A14" s="2926" t="s">
        <v>2755</v>
      </c>
      <c r="B14" s="165" t="s">
        <v>543</v>
      </c>
      <c r="C14" s="918" t="str">
        <f>IF(B1="工业",估价对象房地状况!G4,估价对象房地状况!C6)</f>
        <v>750、804、909，路网密度一般，停车便捷程度一般，一般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490" t="s">
        <v>540</v>
      </c>
      <c r="Q14" s="1566" t="str">
        <f t="shared" si="6"/>
        <v>交通便捷度</v>
      </c>
      <c r="R14" s="1567" t="s">
        <v>8</v>
      </c>
      <c r="S14" s="1568">
        <f t="shared" si="0"/>
        <v>100</v>
      </c>
      <c r="T14" s="1567" t="s">
        <v>8</v>
      </c>
      <c r="U14" s="1568">
        <f t="shared" si="1"/>
        <v>100</v>
      </c>
      <c r="V14" s="1567" t="s">
        <v>8</v>
      </c>
      <c r="W14" s="1568">
        <f t="shared" si="2"/>
        <v>100</v>
      </c>
      <c r="X14" s="1561"/>
      <c r="Y14" s="3490" t="s">
        <v>540</v>
      </c>
      <c r="Z14" s="1569" t="str">
        <f t="shared" si="7"/>
        <v>交通便捷度</v>
      </c>
      <c r="AA14" s="1570">
        <f t="shared" si="3"/>
        <v>1</v>
      </c>
      <c r="AB14" s="1570">
        <f t="shared" si="4"/>
        <v>1</v>
      </c>
      <c r="AC14" s="1570">
        <f t="shared" si="5"/>
        <v>1</v>
      </c>
    </row>
    <row r="15" spans="1:29" ht="15">
      <c r="A15" s="529"/>
      <c r="B15" s="866"/>
      <c r="C15" s="573"/>
      <c r="D15" s="552"/>
      <c r="E15" s="573"/>
      <c r="F15" s="554"/>
      <c r="G15" s="573"/>
      <c r="H15" s="556"/>
      <c r="I15" s="573"/>
      <c r="J15" s="552"/>
      <c r="K15" s="896"/>
      <c r="L15" s="2136"/>
      <c r="M15" s="2128"/>
      <c r="N15" s="2128"/>
      <c r="O15" s="2135"/>
      <c r="P15" s="3491"/>
      <c r="Q15" s="1566"/>
      <c r="R15" s="1567"/>
      <c r="S15" s="1568"/>
      <c r="T15" s="1567"/>
      <c r="U15" s="1568"/>
      <c r="V15" s="1567"/>
      <c r="W15" s="1568"/>
      <c r="X15" s="1561"/>
      <c r="Y15" s="3491"/>
      <c r="Z15" s="1569"/>
      <c r="AA15" s="1570">
        <v>1</v>
      </c>
      <c r="AB15" s="1570">
        <v>1</v>
      </c>
      <c r="AC15" s="1570">
        <v>1</v>
      </c>
    </row>
    <row r="16" spans="1:29" ht="15">
      <c r="A16" s="529"/>
      <c r="B16" s="2619" t="s">
        <v>2547</v>
      </c>
      <c r="C16" s="869" t="str">
        <f>IF(B1="工业",估价对象房地状况!G5,估价对象房地状况!C7)</f>
        <v>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491"/>
      <c r="Q16" s="1566" t="str">
        <f>B16</f>
        <v>公共配套设施</v>
      </c>
      <c r="R16" s="1567" t="s">
        <v>8</v>
      </c>
      <c r="S16" s="1568">
        <f>F16</f>
        <v>100</v>
      </c>
      <c r="T16" s="1567" t="s">
        <v>8</v>
      </c>
      <c r="U16" s="1568">
        <f>H16</f>
        <v>100</v>
      </c>
      <c r="V16" s="1567" t="s">
        <v>8</v>
      </c>
      <c r="W16" s="1568">
        <f>J16</f>
        <v>100</v>
      </c>
      <c r="X16" s="1561"/>
      <c r="Y16" s="3491"/>
      <c r="Z16" s="1569" t="str">
        <f>Q16</f>
        <v>公共配套设施</v>
      </c>
      <c r="AA16" s="1570">
        <f t="shared" si="3"/>
        <v>1</v>
      </c>
      <c r="AB16" s="1570">
        <f t="shared" si="4"/>
        <v>1</v>
      </c>
      <c r="AC16" s="1570">
        <f t="shared" si="5"/>
        <v>1</v>
      </c>
    </row>
    <row r="17" spans="1:29" ht="15">
      <c r="A17" s="529"/>
      <c r="B17" s="563"/>
      <c r="C17" s="870"/>
      <c r="D17" s="552"/>
      <c r="E17" s="573"/>
      <c r="F17" s="554"/>
      <c r="G17" s="573"/>
      <c r="H17" s="552"/>
      <c r="I17" s="573"/>
      <c r="J17" s="552"/>
      <c r="K17" s="896"/>
      <c r="L17" s="2136"/>
      <c r="M17" s="2128"/>
      <c r="N17" s="2128"/>
      <c r="O17" s="2135"/>
      <c r="P17" s="3491"/>
      <c r="Q17" s="1566"/>
      <c r="R17" s="1567"/>
      <c r="S17" s="1568"/>
      <c r="T17" s="1567"/>
      <c r="U17" s="1568"/>
      <c r="V17" s="1567"/>
      <c r="W17" s="1568"/>
      <c r="X17" s="1561"/>
      <c r="Y17" s="3491"/>
      <c r="Z17" s="1569"/>
      <c r="AA17" s="1570">
        <v>1</v>
      </c>
      <c r="AB17" s="1570">
        <v>1</v>
      </c>
      <c r="AC17" s="1570">
        <v>1</v>
      </c>
    </row>
    <row r="18" spans="1:29" ht="15">
      <c r="A18" s="529"/>
      <c r="B18" s="2607" t="s">
        <v>2559</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491"/>
      <c r="Q18" s="2595" t="str">
        <f>B18</f>
        <v>基础设施水平</v>
      </c>
      <c r="R18" s="1567" t="s">
        <v>8</v>
      </c>
      <c r="S18" s="1568">
        <f>F18</f>
        <v>100</v>
      </c>
      <c r="T18" s="1567" t="s">
        <v>8</v>
      </c>
      <c r="U18" s="1568">
        <f>H18</f>
        <v>100</v>
      </c>
      <c r="V18" s="1567" t="s">
        <v>8</v>
      </c>
      <c r="W18" s="1568">
        <f>J18</f>
        <v>100</v>
      </c>
      <c r="X18" s="2597"/>
      <c r="Y18" s="3491"/>
      <c r="Z18" s="2596" t="str">
        <f>Q18</f>
        <v>基础设施水平</v>
      </c>
      <c r="AA18" s="1570">
        <f t="shared" ref="AA18" si="8">D18/F18</f>
        <v>1</v>
      </c>
      <c r="AB18" s="1570">
        <f t="shared" ref="AB18" si="9">D18/H18</f>
        <v>1</v>
      </c>
      <c r="AC18" s="1570">
        <f t="shared" ref="AC18" si="10">D18/J18</f>
        <v>1</v>
      </c>
    </row>
    <row r="19" spans="1:29" ht="15">
      <c r="A19" s="529"/>
      <c r="B19" s="575"/>
      <c r="C19" s="870"/>
      <c r="D19" s="556"/>
      <c r="E19" s="870"/>
      <c r="F19" s="560"/>
      <c r="G19" s="870"/>
      <c r="H19" s="552"/>
      <c r="I19" s="573"/>
      <c r="J19" s="552"/>
      <c r="K19" s="2618"/>
      <c r="L19" s="2136"/>
      <c r="M19" s="2128"/>
      <c r="N19" s="2128"/>
      <c r="O19" s="2135"/>
      <c r="P19" s="3491"/>
      <c r="Q19" s="2595"/>
      <c r="R19" s="1567"/>
      <c r="S19" s="1568"/>
      <c r="T19" s="1567"/>
      <c r="U19" s="1568"/>
      <c r="V19" s="1567"/>
      <c r="W19" s="1568"/>
      <c r="X19" s="2597"/>
      <c r="Y19" s="3491"/>
      <c r="Z19" s="2596"/>
      <c r="AA19" s="1570">
        <v>1</v>
      </c>
      <c r="AB19" s="1570">
        <v>1</v>
      </c>
      <c r="AC19" s="1570">
        <v>1</v>
      </c>
    </row>
    <row r="20" spans="1:29" ht="28.5">
      <c r="A20" s="529"/>
      <c r="B20" s="868" t="s">
        <v>804</v>
      </c>
      <c r="C20" s="869" t="str">
        <f>IF(B1="工业",估价对象房地状况!G7,估价对象房地状况!C9)</f>
        <v>有公园，无人文，一般</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491"/>
      <c r="Q20" s="1566" t="str">
        <f>B20</f>
        <v>自然及人文环境</v>
      </c>
      <c r="R20" s="1567" t="s">
        <v>8</v>
      </c>
      <c r="S20" s="1568">
        <f>F20</f>
        <v>100</v>
      </c>
      <c r="T20" s="1567" t="s">
        <v>8</v>
      </c>
      <c r="U20" s="1568">
        <f>H20</f>
        <v>100</v>
      </c>
      <c r="V20" s="1567" t="s">
        <v>8</v>
      </c>
      <c r="W20" s="1568">
        <f>J20</f>
        <v>100</v>
      </c>
      <c r="X20" s="1561"/>
      <c r="Y20" s="3491"/>
      <c r="Z20" s="1569" t="str">
        <f>Q20</f>
        <v>自然及人文环境</v>
      </c>
      <c r="AA20" s="1570">
        <f t="shared" si="3"/>
        <v>1</v>
      </c>
      <c r="AB20" s="1570">
        <f t="shared" si="4"/>
        <v>1</v>
      </c>
      <c r="AC20" s="1570">
        <f t="shared" si="5"/>
        <v>1</v>
      </c>
    </row>
    <row r="21" spans="1:29" ht="15">
      <c r="A21" s="529"/>
      <c r="B21" s="592"/>
      <c r="C21" s="573"/>
      <c r="D21" s="552"/>
      <c r="E21" s="573"/>
      <c r="F21" s="554"/>
      <c r="G21" s="573"/>
      <c r="H21" s="552"/>
      <c r="I21" s="573"/>
      <c r="J21" s="552"/>
      <c r="K21" s="896"/>
      <c r="L21" s="2136"/>
      <c r="M21" s="2128"/>
      <c r="N21" s="2128"/>
      <c r="O21" s="2135"/>
      <c r="P21" s="3491"/>
      <c r="Q21" s="1566"/>
      <c r="R21" s="1567"/>
      <c r="S21" s="1568"/>
      <c r="T21" s="1567"/>
      <c r="U21" s="1568"/>
      <c r="V21" s="1567"/>
      <c r="W21" s="1568"/>
      <c r="X21" s="1561"/>
      <c r="Y21" s="3491"/>
      <c r="Z21" s="1569"/>
      <c r="AA21" s="1570">
        <v>1</v>
      </c>
      <c r="AB21" s="1570">
        <v>1</v>
      </c>
      <c r="AC21" s="1570">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491"/>
      <c r="Q22" s="1566" t="str">
        <f>B22</f>
        <v>楼层</v>
      </c>
      <c r="R22" s="1567" t="s">
        <v>8</v>
      </c>
      <c r="S22" s="1568">
        <f>F22</f>
        <v>100</v>
      </c>
      <c r="T22" s="1567" t="s">
        <v>8</v>
      </c>
      <c r="U22" s="1568">
        <f>H22</f>
        <v>100</v>
      </c>
      <c r="V22" s="1567" t="s">
        <v>8</v>
      </c>
      <c r="W22" s="1568">
        <f>J22</f>
        <v>100</v>
      </c>
      <c r="X22" s="1561"/>
      <c r="Y22" s="3491"/>
      <c r="Z22" s="1569" t="str">
        <f>Q22</f>
        <v>楼层</v>
      </c>
      <c r="AA22" s="1570">
        <f t="shared" si="3"/>
        <v>1</v>
      </c>
      <c r="AB22" s="1570">
        <f t="shared" si="4"/>
        <v>1</v>
      </c>
      <c r="AC22" s="157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491"/>
      <c r="Q23" s="1566">
        <f>B23</f>
        <v>111</v>
      </c>
      <c r="R23" s="1567" t="s">
        <v>8</v>
      </c>
      <c r="S23" s="1568">
        <f>F23</f>
        <v>100</v>
      </c>
      <c r="T23" s="1567" t="s">
        <v>8</v>
      </c>
      <c r="U23" s="1568">
        <f>H23</f>
        <v>100</v>
      </c>
      <c r="V23" s="1567" t="s">
        <v>8</v>
      </c>
      <c r="W23" s="1568">
        <f>J23</f>
        <v>100</v>
      </c>
      <c r="X23" s="1561"/>
      <c r="Y23" s="3491"/>
      <c r="Z23" s="1569">
        <f>Q23</f>
        <v>111</v>
      </c>
      <c r="AA23" s="1570">
        <f t="shared" si="3"/>
        <v>1</v>
      </c>
      <c r="AB23" s="1570">
        <f t="shared" si="4"/>
        <v>1</v>
      </c>
      <c r="AC23" s="157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491"/>
      <c r="Q24" s="1566">
        <f t="shared" ref="Q24:Q34" si="11">B24</f>
        <v>111</v>
      </c>
      <c r="R24" s="1567" t="s">
        <v>8</v>
      </c>
      <c r="S24" s="1568">
        <f>F24</f>
        <v>100</v>
      </c>
      <c r="T24" s="1567" t="s">
        <v>8</v>
      </c>
      <c r="U24" s="1568">
        <f>H24</f>
        <v>100</v>
      </c>
      <c r="V24" s="1567" t="s">
        <v>8</v>
      </c>
      <c r="W24" s="1568">
        <f>J24</f>
        <v>100</v>
      </c>
      <c r="X24" s="1561"/>
      <c r="Y24" s="3491"/>
      <c r="Z24" s="1569">
        <f>Q24</f>
        <v>111</v>
      </c>
      <c r="AA24" s="1570">
        <f t="shared" si="3"/>
        <v>1</v>
      </c>
      <c r="AB24" s="1570">
        <f t="shared" si="4"/>
        <v>1</v>
      </c>
      <c r="AC24" s="1570">
        <f t="shared" si="5"/>
        <v>1</v>
      </c>
    </row>
    <row r="25" spans="1:29" s="1215"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491"/>
      <c r="Q25" s="1146">
        <f t="shared" si="11"/>
        <v>111</v>
      </c>
      <c r="R25" s="1562" t="s">
        <v>8</v>
      </c>
      <c r="S25" s="1563">
        <f>F25</f>
        <v>100</v>
      </c>
      <c r="T25" s="1562" t="s">
        <v>8</v>
      </c>
      <c r="U25" s="1563">
        <f>H25</f>
        <v>100</v>
      </c>
      <c r="V25" s="1562" t="s">
        <v>8</v>
      </c>
      <c r="W25" s="1563">
        <f>J25</f>
        <v>100</v>
      </c>
      <c r="X25" s="1564"/>
      <c r="Y25" s="3491"/>
      <c r="Z25" s="1145">
        <f>Q25</f>
        <v>111</v>
      </c>
      <c r="AA25" s="1570">
        <f>D25/F25</f>
        <v>1</v>
      </c>
      <c r="AB25" s="1570">
        <f>D25/H25</f>
        <v>1</v>
      </c>
      <c r="AC25" s="1570">
        <f>D25/J25</f>
        <v>1</v>
      </c>
    </row>
    <row r="26" spans="1:29" ht="15">
      <c r="A26" s="2923" t="s">
        <v>2756</v>
      </c>
      <c r="B26" s="171"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492"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93" t="s">
        <v>821</v>
      </c>
      <c r="Z26" s="1569" t="str">
        <f t="shared" ref="Z26:Z34" si="15">Q26</f>
        <v>公共部分装修</v>
      </c>
      <c r="AA26" s="1570">
        <f t="shared" si="3"/>
        <v>1</v>
      </c>
      <c r="AB26" s="1570">
        <f t="shared" si="4"/>
        <v>1</v>
      </c>
      <c r="AC26" s="1570">
        <f t="shared" si="5"/>
        <v>1</v>
      </c>
    </row>
    <row r="27" spans="1:29" s="1334"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493"/>
      <c r="Q27" s="1599" t="str">
        <f t="shared" si="11"/>
        <v>成新率</v>
      </c>
      <c r="R27" s="1571" t="s">
        <v>8</v>
      </c>
      <c r="S27" s="1572" t="e">
        <f t="shared" si="12"/>
        <v>#N/A</v>
      </c>
      <c r="T27" s="1571" t="s">
        <v>8</v>
      </c>
      <c r="U27" s="1572" t="e">
        <f t="shared" si="13"/>
        <v>#N/A</v>
      </c>
      <c r="V27" s="1571" t="s">
        <v>8</v>
      </c>
      <c r="W27" s="1572" t="e">
        <f t="shared" si="14"/>
        <v>#N/A</v>
      </c>
      <c r="X27" s="1573"/>
      <c r="Y27" s="3493"/>
      <c r="Z27" s="1574" t="str">
        <f t="shared" si="15"/>
        <v>成新率</v>
      </c>
      <c r="AA27" s="1570" t="e">
        <f t="shared" si="3"/>
        <v>#N/A</v>
      </c>
      <c r="AB27" s="1570" t="e">
        <f t="shared" si="4"/>
        <v>#N/A</v>
      </c>
      <c r="AC27" s="1570"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493"/>
      <c r="Q28" s="1566" t="str">
        <f t="shared" si="11"/>
        <v>物业等级</v>
      </c>
      <c r="R28" s="1567" t="s">
        <v>8</v>
      </c>
      <c r="S28" s="1568">
        <f t="shared" si="12"/>
        <v>100</v>
      </c>
      <c r="T28" s="1567" t="s">
        <v>8</v>
      </c>
      <c r="U28" s="1568">
        <f t="shared" si="13"/>
        <v>100</v>
      </c>
      <c r="V28" s="1567" t="s">
        <v>8</v>
      </c>
      <c r="W28" s="1568">
        <f t="shared" si="14"/>
        <v>100</v>
      </c>
      <c r="X28" s="1561"/>
      <c r="Y28" s="3493"/>
      <c r="Z28" s="1569" t="str">
        <f t="shared" si="15"/>
        <v>物业等级</v>
      </c>
      <c r="AA28" s="1570">
        <f t="shared" si="3"/>
        <v>1</v>
      </c>
      <c r="AB28" s="1570">
        <f t="shared" si="4"/>
        <v>1</v>
      </c>
      <c r="AC28" s="1570">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493"/>
      <c r="Q29" s="1566" t="str">
        <f t="shared" si="11"/>
        <v>有无电梯</v>
      </c>
      <c r="R29" s="1567" t="s">
        <v>8</v>
      </c>
      <c r="S29" s="1568">
        <f t="shared" si="12"/>
        <v>100</v>
      </c>
      <c r="T29" s="1567" t="s">
        <v>8</v>
      </c>
      <c r="U29" s="1568">
        <f t="shared" si="13"/>
        <v>100</v>
      </c>
      <c r="V29" s="1567" t="s">
        <v>8</v>
      </c>
      <c r="W29" s="1568">
        <f t="shared" si="14"/>
        <v>100</v>
      </c>
      <c r="X29" s="1561"/>
      <c r="Y29" s="3493"/>
      <c r="Z29" s="1569" t="str">
        <f t="shared" si="15"/>
        <v>有无电梯</v>
      </c>
      <c r="AA29" s="1570">
        <f t="shared" si="3"/>
        <v>1</v>
      </c>
      <c r="AB29" s="1570">
        <f t="shared" si="4"/>
        <v>1</v>
      </c>
      <c r="AC29" s="1570">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493"/>
      <c r="Q30" s="1566" t="str">
        <f t="shared" si="11"/>
        <v>建筑面积</v>
      </c>
      <c r="R30" s="1567" t="s">
        <v>8</v>
      </c>
      <c r="S30" s="1568" t="e">
        <f t="shared" si="12"/>
        <v>#N/A</v>
      </c>
      <c r="T30" s="1567" t="s">
        <v>8</v>
      </c>
      <c r="U30" s="1568" t="e">
        <f t="shared" si="13"/>
        <v>#N/A</v>
      </c>
      <c r="V30" s="1567" t="s">
        <v>8</v>
      </c>
      <c r="W30" s="1568" t="e">
        <f t="shared" si="14"/>
        <v>#N/A</v>
      </c>
      <c r="X30" s="1561"/>
      <c r="Y30" s="3493"/>
      <c r="Z30" s="1569" t="str">
        <f t="shared" si="15"/>
        <v>建筑面积</v>
      </c>
      <c r="AA30" s="1570" t="e">
        <f t="shared" si="3"/>
        <v>#N/A</v>
      </c>
      <c r="AB30" s="1570" t="e">
        <f t="shared" si="4"/>
        <v>#N/A</v>
      </c>
      <c r="AC30" s="1570" t="e">
        <f t="shared" si="5"/>
        <v>#N/A</v>
      </c>
    </row>
    <row r="31" spans="1:29" s="1215"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493"/>
      <c r="Q31" s="1146" t="str">
        <f t="shared" si="11"/>
        <v>是否封闭</v>
      </c>
      <c r="R31" s="1562" t="s">
        <v>8</v>
      </c>
      <c r="S31" s="1563">
        <f t="shared" si="12"/>
        <v>100</v>
      </c>
      <c r="T31" s="1562" t="s">
        <v>8</v>
      </c>
      <c r="U31" s="1563">
        <f t="shared" si="13"/>
        <v>100</v>
      </c>
      <c r="V31" s="1562" t="s">
        <v>8</v>
      </c>
      <c r="W31" s="1563">
        <f t="shared" si="14"/>
        <v>100</v>
      </c>
      <c r="X31" s="1564"/>
      <c r="Y31" s="3493"/>
      <c r="Z31" s="1145" t="str">
        <f t="shared" si="15"/>
        <v>是否封闭</v>
      </c>
      <c r="AA31" s="1565">
        <f t="shared" si="3"/>
        <v>1</v>
      </c>
      <c r="AB31" s="1565">
        <f t="shared" si="4"/>
        <v>1</v>
      </c>
      <c r="AC31" s="156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493" t="s">
        <v>550</v>
      </c>
      <c r="Q32" s="1566">
        <f t="shared" si="11"/>
        <v>111</v>
      </c>
      <c r="R32" s="1567" t="s">
        <v>8</v>
      </c>
      <c r="S32" s="1568">
        <f t="shared" si="12"/>
        <v>100</v>
      </c>
      <c r="T32" s="1567" t="s">
        <v>8</v>
      </c>
      <c r="U32" s="1568">
        <f t="shared" si="13"/>
        <v>100</v>
      </c>
      <c r="V32" s="1567" t="s">
        <v>8</v>
      </c>
      <c r="W32" s="1568">
        <f t="shared" si="14"/>
        <v>100</v>
      </c>
      <c r="X32" s="1561"/>
      <c r="Y32" s="3493" t="s">
        <v>550</v>
      </c>
      <c r="Z32" s="1569">
        <f t="shared" si="15"/>
        <v>111</v>
      </c>
      <c r="AA32" s="1570">
        <f t="shared" si="3"/>
        <v>1</v>
      </c>
      <c r="AB32" s="1570">
        <f t="shared" si="4"/>
        <v>1</v>
      </c>
      <c r="AC32" s="157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493"/>
      <c r="Q33" s="1566">
        <f t="shared" si="11"/>
        <v>111</v>
      </c>
      <c r="R33" s="1567" t="s">
        <v>8</v>
      </c>
      <c r="S33" s="1568">
        <f t="shared" si="12"/>
        <v>100</v>
      </c>
      <c r="T33" s="1567" t="s">
        <v>8</v>
      </c>
      <c r="U33" s="1568">
        <f t="shared" si="13"/>
        <v>100</v>
      </c>
      <c r="V33" s="1567" t="s">
        <v>8</v>
      </c>
      <c r="W33" s="1568">
        <f t="shared" si="14"/>
        <v>100</v>
      </c>
      <c r="X33" s="1561"/>
      <c r="Y33" s="3493"/>
      <c r="Z33" s="1569">
        <f t="shared" si="15"/>
        <v>111</v>
      </c>
      <c r="AA33" s="1570">
        <f t="shared" si="3"/>
        <v>1</v>
      </c>
      <c r="AB33" s="1570">
        <f t="shared" si="4"/>
        <v>1</v>
      </c>
      <c r="AC33" s="157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493"/>
      <c r="Q34" s="1566">
        <f t="shared" si="11"/>
        <v>111</v>
      </c>
      <c r="R34" s="1567" t="s">
        <v>8</v>
      </c>
      <c r="S34" s="1568">
        <f t="shared" si="12"/>
        <v>100</v>
      </c>
      <c r="T34" s="1567" t="s">
        <v>8</v>
      </c>
      <c r="U34" s="1568">
        <f t="shared" si="13"/>
        <v>100</v>
      </c>
      <c r="V34" s="1567" t="s">
        <v>8</v>
      </c>
      <c r="W34" s="1568">
        <f t="shared" si="14"/>
        <v>100</v>
      </c>
      <c r="X34" s="1561"/>
      <c r="Y34" s="3493"/>
      <c r="Z34" s="1569">
        <f t="shared" si="15"/>
        <v>111</v>
      </c>
      <c r="AA34" s="1570">
        <f t="shared" si="3"/>
        <v>1</v>
      </c>
      <c r="AB34" s="1570">
        <f t="shared" si="4"/>
        <v>1</v>
      </c>
      <c r="AC34" s="1570">
        <f t="shared" si="5"/>
        <v>1</v>
      </c>
    </row>
    <row r="35" spans="1:29" ht="15">
      <c r="A35" s="604" t="s">
        <v>736</v>
      </c>
      <c r="B35" s="884"/>
      <c r="C35" s="2643" t="s">
        <v>1</v>
      </c>
      <c r="D35" s="2644"/>
      <c r="E35" s="2645"/>
      <c r="F35" s="2646"/>
      <c r="G35" s="2647"/>
      <c r="H35" s="2648"/>
      <c r="I35" s="2645"/>
      <c r="J35" s="2648"/>
      <c r="K35" s="1605"/>
      <c r="L35" s="2138"/>
      <c r="M35" s="2139"/>
      <c r="N35" s="2128"/>
      <c r="O35" s="2139"/>
      <c r="P35" s="3488" t="str">
        <f>A35</f>
        <v>成交单价（元/平方米）</v>
      </c>
      <c r="Q35" s="3488"/>
      <c r="R35" s="3567">
        <f>E35</f>
        <v>0</v>
      </c>
      <c r="S35" s="3567"/>
      <c r="T35" s="3567">
        <f>G35</f>
        <v>0</v>
      </c>
      <c r="U35" s="3567"/>
      <c r="V35" s="3567">
        <f>I35</f>
        <v>0</v>
      </c>
      <c r="W35" s="3567"/>
      <c r="X35" s="1553"/>
      <c r="Y35" s="1575"/>
      <c r="Z35" s="1553"/>
      <c r="AA35" s="1553"/>
      <c r="AB35" s="1553"/>
      <c r="AC35" s="1553"/>
    </row>
    <row r="36" spans="1:29" ht="15.75" thickBot="1">
      <c r="A36" s="612" t="s">
        <v>2761</v>
      </c>
      <c r="B36" s="885"/>
      <c r="C36" s="2649" t="e">
        <f>R37</f>
        <v>#DIV/0!</v>
      </c>
      <c r="D36" s="2650"/>
      <c r="E36" s="2651" t="e">
        <f>R36</f>
        <v>#DIV/0!</v>
      </c>
      <c r="F36" s="2651"/>
      <c r="G36" s="2649" t="e">
        <f>T36</f>
        <v>#DIV/0!</v>
      </c>
      <c r="H36" s="2650"/>
      <c r="I36" s="2651" t="e">
        <f>V36</f>
        <v>#DIV/0!</v>
      </c>
      <c r="J36" s="2650"/>
      <c r="K36" s="1606"/>
      <c r="L36" s="2138"/>
      <c r="M36" s="2139"/>
      <c r="N36" s="2128"/>
      <c r="O36" s="2139"/>
      <c r="P36" s="3488" t="str">
        <f>A36</f>
        <v>比较价格（元/平方米）</v>
      </c>
      <c r="Q36" s="3488"/>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53"/>
      <c r="Y36" s="1553"/>
      <c r="Z36" s="1553"/>
      <c r="AA36" s="1553"/>
      <c r="AB36" s="1553"/>
      <c r="AC36" s="1553"/>
    </row>
    <row r="37" spans="1:29" ht="15.75" thickBot="1">
      <c r="A37" s="618" t="s">
        <v>2930</v>
      </c>
      <c r="B37" s="619"/>
      <c r="C37" s="2652" t="e">
        <f>R37</f>
        <v>#DIV/0!</v>
      </c>
      <c r="D37" s="2652"/>
      <c r="E37" s="2652"/>
      <c r="F37" s="2652"/>
      <c r="G37" s="2652"/>
      <c r="H37" s="2652"/>
      <c r="I37" s="2652"/>
      <c r="J37" s="2652"/>
      <c r="K37" s="1607"/>
      <c r="L37" s="2138"/>
      <c r="M37" s="2139"/>
      <c r="N37" s="2139"/>
      <c r="O37" s="2139"/>
      <c r="P37" s="3509" t="str">
        <f>A37</f>
        <v>估价对象XX用房的比较价格（楼面单价，元/平方米）</v>
      </c>
      <c r="Q37" s="3510"/>
      <c r="R37" s="3566" t="e">
        <f>IF(F1="售价",ROUND(AVERAGE(R36:V36),0),ROUND(AVERAGE(R36:V36),1))</f>
        <v>#DIV/0!</v>
      </c>
      <c r="S37" s="3566"/>
      <c r="T37" s="3566"/>
      <c r="U37" s="3566"/>
      <c r="V37" s="3566"/>
      <c r="W37" s="3566"/>
      <c r="X37" s="1553"/>
      <c r="Y37" s="1553"/>
      <c r="Z37" s="1553"/>
      <c r="AA37" s="1553"/>
      <c r="AB37" s="1553"/>
      <c r="AC37" s="1553"/>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8" t="s">
        <v>574</v>
      </c>
      <c r="B45" s="1553"/>
      <c r="C45" s="1577"/>
      <c r="D45" s="1577"/>
      <c r="E45" s="1577"/>
      <c r="F45" s="1579"/>
      <c r="G45" s="1579"/>
      <c r="H45" s="1577"/>
      <c r="I45" s="1577"/>
      <c r="J45" s="1577"/>
      <c r="K45" s="1580"/>
      <c r="L45" s="1576"/>
      <c r="M45" s="1577"/>
      <c r="N45" s="1577"/>
      <c r="O45" s="1577"/>
      <c r="P45" s="2151"/>
      <c r="Q45" s="2152"/>
      <c r="R45" s="2139"/>
      <c r="S45" s="2139"/>
      <c r="T45" s="2139"/>
      <c r="U45" s="2139"/>
      <c r="V45" s="2139"/>
      <c r="W45" s="2139"/>
      <c r="X45" s="2139"/>
      <c r="Y45" s="2139"/>
      <c r="Z45" s="2139"/>
      <c r="AA45" s="2139"/>
      <c r="AB45" s="2139"/>
      <c r="AC45" s="2139"/>
    </row>
    <row r="46" spans="1:29" s="1342" customFormat="1" ht="15">
      <c r="A46" s="642" t="s">
        <v>529</v>
      </c>
      <c r="B46" s="643"/>
      <c r="C46" s="2818" t="str">
        <f>YEAR(C7)&amp;"-"&amp;MONTH(C7)</f>
        <v>2018-8</v>
      </c>
      <c r="D46" s="2820">
        <f>EDATE(C46,-1)</f>
        <v>43282</v>
      </c>
      <c r="E46" s="2820">
        <f t="shared" ref="E46:O46" si="16">EDATE(D46,-1)</f>
        <v>43252</v>
      </c>
      <c r="F46" s="2820">
        <f t="shared" si="16"/>
        <v>43221</v>
      </c>
      <c r="G46" s="2820">
        <f t="shared" si="16"/>
        <v>43191</v>
      </c>
      <c r="H46" s="2820">
        <f t="shared" si="16"/>
        <v>43160</v>
      </c>
      <c r="I46" s="2820">
        <f t="shared" si="16"/>
        <v>43132</v>
      </c>
      <c r="J46" s="2820">
        <f t="shared" si="16"/>
        <v>43101</v>
      </c>
      <c r="K46" s="2820">
        <f t="shared" si="16"/>
        <v>43070</v>
      </c>
      <c r="L46" s="2820">
        <f t="shared" si="16"/>
        <v>43040</v>
      </c>
      <c r="M46" s="2820">
        <f t="shared" si="16"/>
        <v>43009</v>
      </c>
      <c r="N46" s="2820">
        <f t="shared" si="16"/>
        <v>42979</v>
      </c>
      <c r="O46" s="2820">
        <f t="shared" si="16"/>
        <v>42948</v>
      </c>
      <c r="P46" s="2154"/>
      <c r="Q46" s="2155"/>
      <c r="R46" s="2155"/>
      <c r="S46" s="2155"/>
      <c r="T46" s="2155"/>
      <c r="U46" s="2155"/>
      <c r="V46" s="2155"/>
      <c r="W46" s="2155"/>
      <c r="X46" s="2155"/>
      <c r="Y46" s="2155"/>
      <c r="Z46" s="2155"/>
      <c r="AA46" s="2155"/>
      <c r="AB46" s="2155"/>
      <c r="AC46" s="2155"/>
    </row>
    <row r="47" spans="1:29" s="1215"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5"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5"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2558</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3" t="s">
        <v>2559</v>
      </c>
      <c r="C65" s="2614" t="s">
        <v>2560</v>
      </c>
      <c r="D65" s="2614" t="s">
        <v>2561</v>
      </c>
      <c r="E65" s="2614" t="s">
        <v>2562</v>
      </c>
      <c r="F65" s="2614" t="s">
        <v>2563</v>
      </c>
      <c r="G65" s="2614" t="s">
        <v>2564</v>
      </c>
      <c r="H65" s="671"/>
      <c r="I65" s="671"/>
      <c r="J65" s="671"/>
      <c r="K65" s="671"/>
      <c r="L65" s="671"/>
      <c r="M65" s="2617"/>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4"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1904</v>
      </c>
    </row>
    <row r="2" spans="1:4">
      <c r="A2" s="1773"/>
    </row>
    <row r="3" spans="1:4" ht="18.75">
      <c r="A3" s="1791" t="str">
        <f>项目基本情况!B5&amp;"："</f>
        <v>天津合雨晨置业有限公司：</v>
      </c>
    </row>
    <row r="4" spans="1:4" ht="37.5">
      <c r="A4" s="1785" t="str">
        <f>"受贵公司委托，我公司对"&amp;项目基本情况!K2&amp;项目基本情况!B9&amp;"进行了预评估。"</f>
        <v>受贵公司委托，我公司对天津市北辰区北辰道与朝阳路交口出让国有建设用地使用权抵押价格进行了预评估。</v>
      </c>
    </row>
    <row r="5" spans="1:4" ht="18.75">
      <c r="A5" s="1788" t="s">
        <v>1905</v>
      </c>
    </row>
    <row r="6" spans="1:4" ht="131.25">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合雨晨置业有限公司使用的、位于天津市北辰区北辰道与朝阳路交口出让国有建设用地使用权。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7" spans="1:4" ht="93.75">
      <c r="A7" s="2889" t="s">
        <v>2749</v>
      </c>
    </row>
    <row r="8" spans="1:4" ht="18.75">
      <c r="A8" s="1788" t="s">
        <v>1906</v>
      </c>
    </row>
    <row r="9" spans="1:4" ht="56.25">
      <c r="A9" s="1790"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2018年8月1日</v>
      </c>
    </row>
    <row r="12" spans="1:4" ht="18.75">
      <c r="A12" s="1791" t="s">
        <v>2025</v>
      </c>
    </row>
    <row r="13" spans="1:4" ht="18.75">
      <c r="A13" s="1785" t="s">
        <v>2071</v>
      </c>
    </row>
    <row r="14" spans="1:4" ht="37.5">
      <c r="A14" s="1785" t="str">
        <f>"根据"&amp;项目基本情况!F12&amp;"，本次评估估价对象证载（地类）用途为"&amp;项目基本情况!B12&amp;"。"</f>
        <v>根据《天津市房地产权证》[津2017北辰区不动产权第1012383号]，本次评估估价对象证载（地类）用途为城镇住宅。</v>
      </c>
      <c r="C14" s="1775"/>
      <c r="D14" s="1776"/>
    </row>
    <row r="15" spans="1:4" ht="93.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天津市国有建设用地使用权出让合同》[电子监管号：1201012016B02066号]及附件、《建设工程规划许可证》[2017北辰住证0010、0014号]，估价对象土地规划用途为住宅、商业、地下车库，上述用途符合《国有土地使用证》证载地类范围。本次评估设定用途为住宅、商业、地下车库。</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9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2017北辰区不动产权第1012383号]，估价对象（分摊）出让国有建设用地使用权面积为69493.68平方米。根据《天津市国有建设用地使用权出让合同》[电子监管号：1201012016B02066号]及附件、《建设工程规划许可证》[2017北辰住证0010、0014号]、《预测绘报告》及《御园已售明细》，估价对象规划建筑面积为165200.36平方米。</v>
      </c>
    </row>
    <row r="21" spans="1:1" ht="93.75">
      <c r="A21" s="28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91" t="s">
        <v>2750</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5" t="str">
        <f>IF(项目基本情况!E9="——","",定义!C57)</f>
        <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2789</v>
      </c>
      <c r="C1" s="3020">
        <f>项目基本情况!D3</f>
        <v>43313</v>
      </c>
      <c r="H1" s="2954">
        <f>IF(C1&gt;C13,0,MATCH(C1,C$13:C$100,-1))+IF(SUMIF(C13:C100,C1,D13:D100)=0,13,12)</f>
        <v>13</v>
      </c>
      <c r="I1" s="2954">
        <f>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2820</v>
      </c>
      <c r="C2" s="3021">
        <f>'数据-取费表'!B22</f>
        <v>2</v>
      </c>
      <c r="D2" s="3016" t="s">
        <v>2790</v>
      </c>
      <c r="E2" s="3019">
        <f ca="1">INDIRECT("I"&amp;$I$1)/100</f>
        <v>4.7500000000000001E-2</v>
      </c>
      <c r="G2" s="2956"/>
      <c r="H2" s="2956"/>
      <c r="I2" s="2956" t="s">
        <v>2791</v>
      </c>
      <c r="K2" s="2956"/>
      <c r="L2" s="2956"/>
      <c r="M2" s="2956"/>
      <c r="N2" s="2956" t="s">
        <v>2792</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2822</v>
      </c>
      <c r="C3" s="3018">
        <f>'数据-取费表'!B19</f>
        <v>0</v>
      </c>
      <c r="D3" s="3016" t="s">
        <v>2790</v>
      </c>
      <c r="E3" s="3019">
        <f ca="1">INDIRECT("J"&amp;$J$1)/100</f>
        <v>0</v>
      </c>
      <c r="G3" s="2958" t="s">
        <v>2793</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2821</v>
      </c>
      <c r="C4" s="3019">
        <f ca="1">N4/100</f>
        <v>1.4999999999999999E-2</v>
      </c>
      <c r="G4" s="2964" t="s">
        <v>2794</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2795</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2796</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2797</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2798</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2799</v>
      </c>
      <c r="C10" s="2983"/>
      <c r="D10" s="2983"/>
      <c r="E10" s="2983"/>
      <c r="F10" s="2983"/>
      <c r="G10" s="2983"/>
      <c r="H10" s="2983"/>
      <c r="I10" s="2957"/>
      <c r="J10" s="2957"/>
      <c r="K10" s="2983"/>
      <c r="L10" s="2984" t="s">
        <v>2800</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2801</v>
      </c>
      <c r="C11" s="2988" t="s">
        <v>2802</v>
      </c>
      <c r="D11" s="2989" t="s">
        <v>2803</v>
      </c>
      <c r="E11" s="2990"/>
      <c r="F11" s="2989" t="s">
        <v>2804</v>
      </c>
      <c r="G11" s="2991"/>
      <c r="H11" s="2990"/>
      <c r="I11" s="2989" t="s">
        <v>2805</v>
      </c>
      <c r="J11" s="2990"/>
      <c r="K11" s="2986"/>
      <c r="L11" s="2987" t="s">
        <v>2801</v>
      </c>
      <c r="M11" s="2988" t="s">
        <v>2802</v>
      </c>
      <c r="N11" s="2987" t="s">
        <v>2806</v>
      </c>
      <c r="O11" s="2989" t="s">
        <v>2807</v>
      </c>
      <c r="P11" s="2991"/>
      <c r="Q11" s="2991"/>
      <c r="R11" s="2991"/>
      <c r="S11" s="2991"/>
      <c r="T11" s="2990"/>
      <c r="U11" s="2989" t="s">
        <v>2808</v>
      </c>
      <c r="V11" s="2991"/>
      <c r="W11" s="2990"/>
      <c r="X11" s="2987" t="s">
        <v>2809</v>
      </c>
      <c r="Y11" s="2987" t="s">
        <v>2810</v>
      </c>
      <c r="Z11" s="2987" t="s">
        <v>2811</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2812</v>
      </c>
      <c r="E12" s="2996" t="s">
        <v>2813</v>
      </c>
      <c r="F12" s="2996" t="s">
        <v>2814</v>
      </c>
      <c r="G12" s="2996" t="s">
        <v>2815</v>
      </c>
      <c r="H12" s="2996" t="s">
        <v>2797</v>
      </c>
      <c r="I12" s="2997" t="s">
        <v>2816</v>
      </c>
      <c r="J12" s="2997" t="s">
        <v>2816</v>
      </c>
      <c r="K12" s="2993"/>
      <c r="L12" s="2994"/>
      <c r="M12" s="2995"/>
      <c r="N12" s="2994"/>
      <c r="O12" s="2997" t="s">
        <v>2817</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2818</v>
      </c>
      <c r="C13" s="3001">
        <v>42301</v>
      </c>
      <c r="D13" s="3002">
        <v>4.3499999999999996</v>
      </c>
      <c r="E13" s="3002">
        <v>4.3499999999999996</v>
      </c>
      <c r="F13" s="3002">
        <v>4.75</v>
      </c>
      <c r="G13" s="3002">
        <v>4.75</v>
      </c>
      <c r="H13" s="3002">
        <v>4.9000000000000004</v>
      </c>
      <c r="I13" s="3002">
        <v>2.75</v>
      </c>
      <c r="J13" s="3002">
        <v>3.25</v>
      </c>
      <c r="K13" s="2999"/>
      <c r="L13" s="3000" t="s">
        <v>2818</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2819</v>
      </c>
      <c r="Y42" s="3006" t="s">
        <v>2819</v>
      </c>
      <c r="Z42" s="3006" t="s">
        <v>2819</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2819</v>
      </c>
      <c r="Y43" s="3006" t="s">
        <v>2819</v>
      </c>
      <c r="Z43" s="3006" t="s">
        <v>2819</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2819</v>
      </c>
      <c r="Y44" s="3006" t="s">
        <v>2819</v>
      </c>
      <c r="Z44" s="3006" t="s">
        <v>2819</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2819</v>
      </c>
      <c r="Y45" s="3006" t="s">
        <v>2819</v>
      </c>
      <c r="Z45" s="3006" t="s">
        <v>2819</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2819</v>
      </c>
      <c r="Y46" s="3006" t="s">
        <v>2819</v>
      </c>
      <c r="Z46" s="3006" t="s">
        <v>2819</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2819</v>
      </c>
      <c r="Y47" s="3006" t="s">
        <v>2819</v>
      </c>
      <c r="Z47" s="3006" t="s">
        <v>2819</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2819</v>
      </c>
      <c r="Y48" s="3006" t="s">
        <v>2819</v>
      </c>
      <c r="Z48" s="3006" t="s">
        <v>2819</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2819</v>
      </c>
      <c r="Y49" s="3006" t="s">
        <v>2819</v>
      </c>
      <c r="Z49" s="3006" t="s">
        <v>2819</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2819</v>
      </c>
      <c r="Y50" s="3006" t="s">
        <v>2819</v>
      </c>
      <c r="Z50" s="3006" t="s">
        <v>2819</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2819</v>
      </c>
      <c r="V51" s="3006" t="s">
        <v>2819</v>
      </c>
      <c r="W51" s="3006" t="s">
        <v>2819</v>
      </c>
      <c r="X51" s="3006" t="s">
        <v>2819</v>
      </c>
      <c r="Y51" s="3006" t="s">
        <v>2819</v>
      </c>
      <c r="Z51" s="3006" t="s">
        <v>2819</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2819</v>
      </c>
      <c r="J55" s="3006" t="s">
        <v>2819</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topLeftCell="D1" workbookViewId="0">
      <selection activeCell="D1" sqref="A1:XFD1048576"/>
    </sheetView>
  </sheetViews>
  <sheetFormatPr defaultRowHeight="13.5"/>
  <cols>
    <col min="6" max="6" width="16.125" bestFit="1" customWidth="1"/>
    <col min="7" max="7" width="12.75" bestFit="1" customWidth="1"/>
    <col min="13" max="13" width="14.5" bestFit="1" customWidth="1"/>
    <col min="16" max="16" width="9.5" bestFit="1" customWidth="1"/>
  </cols>
  <sheetData>
    <row r="1" spans="1:16" ht="14.25">
      <c r="A1" s="2955" t="s">
        <v>3007</v>
      </c>
      <c r="B1" s="2955" t="s">
        <v>3008</v>
      </c>
      <c r="C1" s="2955" t="s">
        <v>3009</v>
      </c>
      <c r="D1" s="2955" t="s">
        <v>3010</v>
      </c>
      <c r="E1" s="2955" t="s">
        <v>3011</v>
      </c>
      <c r="F1" s="3169" t="s">
        <v>3012</v>
      </c>
      <c r="I1" s="3256"/>
      <c r="J1" s="3256"/>
      <c r="K1" s="3256"/>
      <c r="L1" s="3256"/>
      <c r="M1" s="3257">
        <v>20147.910000000011</v>
      </c>
    </row>
    <row r="2" spans="1:16" ht="18">
      <c r="A2" s="2955">
        <v>1</v>
      </c>
      <c r="B2" s="2955" t="s">
        <v>3013</v>
      </c>
      <c r="C2" s="2955" t="s">
        <v>3014</v>
      </c>
      <c r="D2" s="2955" t="s">
        <v>3015</v>
      </c>
      <c r="E2" s="2955">
        <v>123.53</v>
      </c>
      <c r="F2" s="3169">
        <v>2584865</v>
      </c>
      <c r="G2" s="3252">
        <f>F2/E2</f>
        <v>20924.997976200113</v>
      </c>
      <c r="I2" s="3258" t="s">
        <v>4345</v>
      </c>
      <c r="J2" s="3258" t="s">
        <v>4346</v>
      </c>
      <c r="K2" s="3258" t="s">
        <v>4347</v>
      </c>
      <c r="L2" s="3259" t="s">
        <v>4347</v>
      </c>
      <c r="M2" s="3260" t="s">
        <v>4348</v>
      </c>
      <c r="O2" s="3170" t="s">
        <v>4460</v>
      </c>
      <c r="P2" s="3306">
        <f>SUM(M39:M45,M58,M62:M70,M76:M82,M96,M112:M113,M115:M116,M118:M119,M124:M125,M130:M131,M133,M135:M137)</f>
        <v>3874.9900000000021</v>
      </c>
    </row>
    <row r="3" spans="1:16" ht="16.5">
      <c r="A3" s="2955">
        <v>2</v>
      </c>
      <c r="B3" s="2955" t="s">
        <v>3016</v>
      </c>
      <c r="C3" s="2955" t="s">
        <v>3014</v>
      </c>
      <c r="D3" s="2955" t="s">
        <v>3017</v>
      </c>
      <c r="E3" s="2955">
        <v>99.55</v>
      </c>
      <c r="F3" s="3169">
        <v>2176661</v>
      </c>
      <c r="G3" s="3252">
        <f t="shared" ref="G3:G66" si="0">F3/E3</f>
        <v>21865.002511300856</v>
      </c>
      <c r="I3" s="3264">
        <v>12</v>
      </c>
      <c r="J3" s="3264">
        <v>1</v>
      </c>
      <c r="K3" s="3265" t="s">
        <v>4349</v>
      </c>
      <c r="L3" s="3266" t="s">
        <v>3787</v>
      </c>
      <c r="M3" s="3267">
        <v>96.43</v>
      </c>
      <c r="O3" s="3170" t="s">
        <v>4461</v>
      </c>
      <c r="P3" s="3306">
        <f>SUM(M138:M141,M158:M159,M166,M173)</f>
        <v>775.53</v>
      </c>
    </row>
    <row r="4" spans="1:16" ht="16.5">
      <c r="A4" s="2955">
        <v>3</v>
      </c>
      <c r="B4" s="2955" t="s">
        <v>3016</v>
      </c>
      <c r="C4" s="2955" t="s">
        <v>3014</v>
      </c>
      <c r="D4" s="2955" t="s">
        <v>3018</v>
      </c>
      <c r="E4" s="2955">
        <v>123.53</v>
      </c>
      <c r="F4" s="3169">
        <v>2550277</v>
      </c>
      <c r="G4" s="3252">
        <f t="shared" si="0"/>
        <v>20645.001214279931</v>
      </c>
      <c r="I4" s="3264">
        <v>12</v>
      </c>
      <c r="J4" s="3264">
        <v>1</v>
      </c>
      <c r="K4" s="3265" t="s">
        <v>4350</v>
      </c>
      <c r="L4" s="3266" t="s">
        <v>3788</v>
      </c>
      <c r="M4" s="3267">
        <v>97.24</v>
      </c>
      <c r="O4" s="3170" t="s">
        <v>4462</v>
      </c>
      <c r="P4" s="3306">
        <f>SUM(M3:M9,M56:M57,M59:M61,M71:M75,M83:M95,M98:M102,M105:M107,M117,M120:M121,M128:M129,M132,M134)</f>
        <v>4480.7099999999991</v>
      </c>
    </row>
    <row r="5" spans="1:16" ht="16.5">
      <c r="A5" s="2955">
        <v>4</v>
      </c>
      <c r="B5" s="2955" t="s">
        <v>3016</v>
      </c>
      <c r="C5" s="2955" t="s">
        <v>3014</v>
      </c>
      <c r="D5" s="2955" t="s">
        <v>3019</v>
      </c>
      <c r="E5" s="2955">
        <v>99.55</v>
      </c>
      <c r="F5" s="3169">
        <v>2124895</v>
      </c>
      <c r="G5" s="3252">
        <f t="shared" si="0"/>
        <v>21345.002511300856</v>
      </c>
      <c r="I5" s="3264">
        <v>12</v>
      </c>
      <c r="J5" s="3264">
        <v>1</v>
      </c>
      <c r="K5" s="3265" t="s">
        <v>4351</v>
      </c>
      <c r="L5" s="3266" t="s">
        <v>3789</v>
      </c>
      <c r="M5" s="3267">
        <v>97.24</v>
      </c>
      <c r="O5" s="3170" t="s">
        <v>4463</v>
      </c>
      <c r="P5" s="3306">
        <f>SUM(M25:M38,M52:M55,M97,M104,M123)</f>
        <v>2866.47</v>
      </c>
    </row>
    <row r="6" spans="1:16" ht="16.5">
      <c r="A6" s="2955">
        <v>5</v>
      </c>
      <c r="B6" s="2955" t="s">
        <v>3016</v>
      </c>
      <c r="C6" s="2955" t="s">
        <v>3014</v>
      </c>
      <c r="D6" s="2955" t="s">
        <v>3020</v>
      </c>
      <c r="E6" s="2955">
        <v>123.53</v>
      </c>
      <c r="F6" s="3169">
        <v>2574983</v>
      </c>
      <c r="G6" s="3252">
        <f t="shared" si="0"/>
        <v>20845.001214279931</v>
      </c>
      <c r="I6" s="3264">
        <v>12</v>
      </c>
      <c r="J6" s="3264">
        <v>2</v>
      </c>
      <c r="K6" s="3265" t="s">
        <v>4349</v>
      </c>
      <c r="L6" s="3266" t="s">
        <v>3792</v>
      </c>
      <c r="M6" s="3267">
        <v>96.8</v>
      </c>
      <c r="O6" s="3170" t="s">
        <v>4464</v>
      </c>
    </row>
    <row r="7" spans="1:16" ht="16.5">
      <c r="A7" s="2955">
        <v>6</v>
      </c>
      <c r="B7" s="2955" t="s">
        <v>3016</v>
      </c>
      <c r="C7" s="2955" t="s">
        <v>3014</v>
      </c>
      <c r="D7" s="2955" t="s">
        <v>3021</v>
      </c>
      <c r="E7" s="2955">
        <v>120.35</v>
      </c>
      <c r="F7" s="3169">
        <v>2448521</v>
      </c>
      <c r="G7" s="3252">
        <f t="shared" si="0"/>
        <v>20345.002077274617</v>
      </c>
      <c r="I7" s="3264">
        <v>12</v>
      </c>
      <c r="J7" s="3264">
        <v>2</v>
      </c>
      <c r="K7" s="3265" t="s">
        <v>4352</v>
      </c>
      <c r="L7" s="3266" t="s">
        <v>3793</v>
      </c>
      <c r="M7" s="3267">
        <v>96.43</v>
      </c>
    </row>
    <row r="8" spans="1:16" ht="16.5">
      <c r="A8" s="2955">
        <v>7</v>
      </c>
      <c r="B8" s="2955" t="s">
        <v>3016</v>
      </c>
      <c r="C8" s="2955" t="s">
        <v>3014</v>
      </c>
      <c r="D8" s="2955" t="s">
        <v>3022</v>
      </c>
      <c r="E8" s="2955">
        <v>123.53</v>
      </c>
      <c r="F8" s="3169">
        <v>2537924</v>
      </c>
      <c r="G8" s="3252">
        <f t="shared" si="0"/>
        <v>20545.001214279931</v>
      </c>
      <c r="I8" s="3264">
        <v>12</v>
      </c>
      <c r="J8" s="3264">
        <v>3</v>
      </c>
      <c r="K8" s="3265" t="s">
        <v>4352</v>
      </c>
      <c r="L8" s="3266" t="s">
        <v>3794</v>
      </c>
      <c r="M8" s="3267">
        <v>96.43</v>
      </c>
    </row>
    <row r="9" spans="1:16" ht="16.5">
      <c r="A9" s="2955">
        <v>8</v>
      </c>
      <c r="B9" s="2955" t="s">
        <v>3016</v>
      </c>
      <c r="C9" s="2955" t="s">
        <v>3014</v>
      </c>
      <c r="D9" s="2955" t="s">
        <v>3023</v>
      </c>
      <c r="E9" s="2955">
        <v>99.55</v>
      </c>
      <c r="F9" s="3169">
        <v>2134850</v>
      </c>
      <c r="G9" s="3252">
        <f t="shared" si="0"/>
        <v>21445.002511300856</v>
      </c>
      <c r="I9" s="3264">
        <v>12</v>
      </c>
      <c r="J9" s="3264">
        <v>5</v>
      </c>
      <c r="K9" s="3265" t="s">
        <v>4349</v>
      </c>
      <c r="L9" s="3266" t="s">
        <v>3795</v>
      </c>
      <c r="M9" s="3267">
        <v>97.24</v>
      </c>
    </row>
    <row r="10" spans="1:16" ht="16.5">
      <c r="A10" s="2955">
        <v>9</v>
      </c>
      <c r="B10" s="2955" t="s">
        <v>3016</v>
      </c>
      <c r="C10" s="2955" t="s">
        <v>3014</v>
      </c>
      <c r="D10" s="2955" t="s">
        <v>3024</v>
      </c>
      <c r="E10" s="2955">
        <v>99.55</v>
      </c>
      <c r="F10" s="3169">
        <v>2154760</v>
      </c>
      <c r="G10" s="3252">
        <f t="shared" si="0"/>
        <v>21645.002511300856</v>
      </c>
      <c r="I10" s="3272">
        <v>18</v>
      </c>
      <c r="J10" s="3272">
        <v>1</v>
      </c>
      <c r="K10" s="3273" t="s">
        <v>4349</v>
      </c>
      <c r="L10" s="3274" t="s">
        <v>3796</v>
      </c>
      <c r="M10" s="3275">
        <v>126.32</v>
      </c>
    </row>
    <row r="11" spans="1:16" ht="16.5">
      <c r="A11" s="2955">
        <v>10</v>
      </c>
      <c r="B11" s="2955" t="s">
        <v>3016</v>
      </c>
      <c r="C11" s="2955" t="s">
        <v>3014</v>
      </c>
      <c r="D11" s="2955" t="s">
        <v>3025</v>
      </c>
      <c r="E11" s="2955">
        <v>122.15</v>
      </c>
      <c r="F11" s="3169">
        <v>2534002</v>
      </c>
      <c r="G11" s="3252">
        <f t="shared" si="0"/>
        <v>20745.002046663936</v>
      </c>
      <c r="I11" s="3272">
        <v>18</v>
      </c>
      <c r="J11" s="3272">
        <v>1</v>
      </c>
      <c r="K11" s="3273" t="s">
        <v>4353</v>
      </c>
      <c r="L11" s="3274" t="s">
        <v>3797</v>
      </c>
      <c r="M11" s="3275">
        <v>126.32</v>
      </c>
    </row>
    <row r="12" spans="1:16" ht="16.5">
      <c r="A12" s="2955">
        <v>11</v>
      </c>
      <c r="B12" s="2955" t="s">
        <v>3016</v>
      </c>
      <c r="C12" s="2955" t="s">
        <v>3014</v>
      </c>
      <c r="D12" s="2955" t="s">
        <v>3026</v>
      </c>
      <c r="E12" s="2955">
        <v>99.55</v>
      </c>
      <c r="F12" s="3169">
        <v>2184625</v>
      </c>
      <c r="G12" s="3252">
        <f t="shared" si="0"/>
        <v>21945.002511300856</v>
      </c>
      <c r="I12" s="3272">
        <v>18</v>
      </c>
      <c r="J12" s="3272">
        <v>1</v>
      </c>
      <c r="K12" s="3273" t="s">
        <v>4354</v>
      </c>
      <c r="L12" s="3274" t="s">
        <v>3798</v>
      </c>
      <c r="M12" s="3275">
        <v>132.19</v>
      </c>
    </row>
    <row r="13" spans="1:16" ht="16.5">
      <c r="A13" s="2955">
        <v>12</v>
      </c>
      <c r="B13" s="2955" t="s">
        <v>3016</v>
      </c>
      <c r="C13" s="2955" t="s">
        <v>3014</v>
      </c>
      <c r="D13" s="2955" t="s">
        <v>3027</v>
      </c>
      <c r="E13" s="2955">
        <v>99.55</v>
      </c>
      <c r="F13" s="3169">
        <v>2164715</v>
      </c>
      <c r="G13" s="3252">
        <f t="shared" si="0"/>
        <v>21745.002511300856</v>
      </c>
      <c r="I13" s="3272">
        <v>18</v>
      </c>
      <c r="J13" s="3272">
        <v>1</v>
      </c>
      <c r="K13" s="3273" t="s">
        <v>4355</v>
      </c>
      <c r="L13" s="3274" t="s">
        <v>3799</v>
      </c>
      <c r="M13" s="3275">
        <v>126.32</v>
      </c>
    </row>
    <row r="14" spans="1:16" ht="16.5">
      <c r="A14" s="2955">
        <v>13</v>
      </c>
      <c r="B14" s="2955" t="s">
        <v>3016</v>
      </c>
      <c r="C14" s="2955" t="s">
        <v>3014</v>
      </c>
      <c r="D14" s="2955" t="s">
        <v>3028</v>
      </c>
      <c r="E14" s="2955">
        <v>99.55</v>
      </c>
      <c r="F14" s="3169">
        <v>2176661</v>
      </c>
      <c r="G14" s="3252">
        <f t="shared" si="0"/>
        <v>21865.002511300856</v>
      </c>
      <c r="I14" s="3272">
        <v>18</v>
      </c>
      <c r="J14" s="3272">
        <v>2</v>
      </c>
      <c r="K14" s="3273" t="s">
        <v>4349</v>
      </c>
      <c r="L14" s="3274" t="s">
        <v>3800</v>
      </c>
      <c r="M14" s="3275">
        <v>141.91</v>
      </c>
    </row>
    <row r="15" spans="1:16" ht="16.5">
      <c r="A15" s="2955">
        <v>14</v>
      </c>
      <c r="B15" s="2955" t="s">
        <v>3016</v>
      </c>
      <c r="C15" s="2955" t="s">
        <v>3014</v>
      </c>
      <c r="D15" s="2955" t="s">
        <v>3029</v>
      </c>
      <c r="E15" s="2955">
        <v>123.53</v>
      </c>
      <c r="F15" s="3169">
        <v>2570042</v>
      </c>
      <c r="G15" s="3252">
        <f t="shared" si="0"/>
        <v>20805.002833319842</v>
      </c>
      <c r="I15" s="3272">
        <v>18</v>
      </c>
      <c r="J15" s="3272">
        <v>2</v>
      </c>
      <c r="K15" s="3273" t="s">
        <v>4352</v>
      </c>
      <c r="L15" s="3274" t="s">
        <v>3801</v>
      </c>
      <c r="M15" s="3275">
        <v>142.19999999999999</v>
      </c>
    </row>
    <row r="16" spans="1:16" ht="16.5">
      <c r="A16" s="2955">
        <v>15</v>
      </c>
      <c r="B16" s="2955" t="s">
        <v>3016</v>
      </c>
      <c r="C16" s="2955" t="s">
        <v>3014</v>
      </c>
      <c r="D16" s="2955" t="s">
        <v>3030</v>
      </c>
      <c r="E16" s="2955">
        <v>99.55</v>
      </c>
      <c r="F16" s="3169">
        <v>2144805</v>
      </c>
      <c r="G16" s="3252">
        <f t="shared" si="0"/>
        <v>21545.002511300856</v>
      </c>
      <c r="I16" s="3272">
        <v>18</v>
      </c>
      <c r="J16" s="3272">
        <v>2</v>
      </c>
      <c r="K16" s="3273" t="s">
        <v>4353</v>
      </c>
      <c r="L16" s="3274" t="s">
        <v>3802</v>
      </c>
      <c r="M16" s="3275">
        <v>141.91</v>
      </c>
    </row>
    <row r="17" spans="1:13" ht="16.5">
      <c r="A17" s="2955">
        <v>16</v>
      </c>
      <c r="B17" s="2955" t="s">
        <v>3016</v>
      </c>
      <c r="C17" s="2955" t="s">
        <v>3014</v>
      </c>
      <c r="D17" s="2955" t="s">
        <v>3031</v>
      </c>
      <c r="E17" s="2955">
        <v>123.53</v>
      </c>
      <c r="F17" s="3169">
        <v>2612042</v>
      </c>
      <c r="G17" s="3252">
        <f t="shared" si="0"/>
        <v>21145.001214279931</v>
      </c>
      <c r="I17" s="3272">
        <v>18</v>
      </c>
      <c r="J17" s="3272">
        <v>2</v>
      </c>
      <c r="K17" s="3273" t="s">
        <v>4355</v>
      </c>
      <c r="L17" s="3274" t="s">
        <v>3803</v>
      </c>
      <c r="M17" s="3275">
        <v>141.91</v>
      </c>
    </row>
    <row r="18" spans="1:13" ht="16.5">
      <c r="A18" s="2955">
        <v>17</v>
      </c>
      <c r="B18" s="2955" t="s">
        <v>3016</v>
      </c>
      <c r="C18" s="2955" t="s">
        <v>3014</v>
      </c>
      <c r="D18" s="2955" t="s">
        <v>3032</v>
      </c>
      <c r="E18" s="2955">
        <v>125.31</v>
      </c>
      <c r="F18" s="3169">
        <v>2599556</v>
      </c>
      <c r="G18" s="3252">
        <f t="shared" si="0"/>
        <v>20745.000399010452</v>
      </c>
      <c r="I18" s="3272">
        <v>18</v>
      </c>
      <c r="J18" s="3272">
        <v>2</v>
      </c>
      <c r="K18" s="3273" t="s">
        <v>4356</v>
      </c>
      <c r="L18" s="3274" t="s">
        <v>3804</v>
      </c>
      <c r="M18" s="3275">
        <v>196.99</v>
      </c>
    </row>
    <row r="19" spans="1:13" ht="16.5">
      <c r="A19" s="2955">
        <v>18</v>
      </c>
      <c r="B19" s="2955" t="s">
        <v>3016</v>
      </c>
      <c r="C19" s="2955" t="s">
        <v>3014</v>
      </c>
      <c r="D19" s="2955" t="s">
        <v>3033</v>
      </c>
      <c r="E19" s="2955">
        <v>99.55</v>
      </c>
      <c r="F19" s="3169">
        <v>2114940</v>
      </c>
      <c r="G19" s="3252">
        <f t="shared" si="0"/>
        <v>21245.002511300856</v>
      </c>
      <c r="I19" s="3272">
        <v>18</v>
      </c>
      <c r="J19" s="3272">
        <v>3</v>
      </c>
      <c r="K19" s="3273" t="s">
        <v>4357</v>
      </c>
      <c r="L19" s="3274" t="s">
        <v>3805</v>
      </c>
      <c r="M19" s="3275">
        <v>207.48</v>
      </c>
    </row>
    <row r="20" spans="1:13" ht="16.5">
      <c r="A20" s="2955">
        <v>19</v>
      </c>
      <c r="B20" s="2955" t="s">
        <v>3016</v>
      </c>
      <c r="C20" s="2955" t="s">
        <v>3014</v>
      </c>
      <c r="D20" s="2955" t="s">
        <v>3034</v>
      </c>
      <c r="E20" s="2955">
        <v>123.53</v>
      </c>
      <c r="F20" s="3169">
        <v>2598152</v>
      </c>
      <c r="G20" s="3252">
        <f t="shared" si="0"/>
        <v>21032.558892576701</v>
      </c>
      <c r="I20" s="3272">
        <v>18</v>
      </c>
      <c r="J20" s="3272">
        <v>3</v>
      </c>
      <c r="K20" s="3273" t="s">
        <v>4349</v>
      </c>
      <c r="L20" s="3274" t="s">
        <v>3806</v>
      </c>
      <c r="M20" s="3275">
        <v>207.48</v>
      </c>
    </row>
    <row r="21" spans="1:13" ht="16.5">
      <c r="A21" s="2955">
        <v>20</v>
      </c>
      <c r="B21" s="2955" t="s">
        <v>3016</v>
      </c>
      <c r="C21" s="2955" t="s">
        <v>3014</v>
      </c>
      <c r="D21" s="2955" t="s">
        <v>3035</v>
      </c>
      <c r="E21" s="2955">
        <v>122.15</v>
      </c>
      <c r="F21" s="3169">
        <v>2607292</v>
      </c>
      <c r="G21" s="3252">
        <f t="shared" si="0"/>
        <v>21345.002046663936</v>
      </c>
      <c r="I21" s="3272">
        <v>18</v>
      </c>
      <c r="J21" s="3272">
        <v>3</v>
      </c>
      <c r="K21" s="3273" t="s">
        <v>4353</v>
      </c>
      <c r="L21" s="3274" t="s">
        <v>3807</v>
      </c>
      <c r="M21" s="3275">
        <v>207.48</v>
      </c>
    </row>
    <row r="22" spans="1:13" ht="16.5">
      <c r="A22" s="2955">
        <v>21</v>
      </c>
      <c r="B22" s="2955" t="s">
        <v>3016</v>
      </c>
      <c r="C22" s="2955" t="s">
        <v>3014</v>
      </c>
      <c r="D22" s="2955" t="s">
        <v>3036</v>
      </c>
      <c r="E22" s="2955">
        <v>125.31</v>
      </c>
      <c r="F22" s="3169">
        <v>2674742</v>
      </c>
      <c r="G22" s="3252">
        <f t="shared" si="0"/>
        <v>21345.000399010452</v>
      </c>
      <c r="I22" s="3272">
        <v>18</v>
      </c>
      <c r="J22" s="3272">
        <v>3</v>
      </c>
      <c r="K22" s="3273" t="s">
        <v>4354</v>
      </c>
      <c r="L22" s="3274" t="s">
        <v>3808</v>
      </c>
      <c r="M22" s="3275">
        <v>141.91</v>
      </c>
    </row>
    <row r="23" spans="1:13" ht="16.5">
      <c r="A23" s="2955">
        <v>22</v>
      </c>
      <c r="B23" s="2955" t="s">
        <v>3016</v>
      </c>
      <c r="C23" s="2955" t="s">
        <v>3014</v>
      </c>
      <c r="D23" s="2955" t="s">
        <v>3037</v>
      </c>
      <c r="E23" s="2955">
        <v>125.31</v>
      </c>
      <c r="F23" s="3169">
        <v>2687273</v>
      </c>
      <c r="G23" s="3252">
        <f t="shared" si="0"/>
        <v>21445.000399010452</v>
      </c>
      <c r="I23" s="3272">
        <v>18</v>
      </c>
      <c r="J23" s="3272">
        <v>3</v>
      </c>
      <c r="K23" s="3273" t="s">
        <v>4355</v>
      </c>
      <c r="L23" s="3274" t="s">
        <v>3809</v>
      </c>
      <c r="M23" s="3275">
        <v>207.48</v>
      </c>
    </row>
    <row r="24" spans="1:13" ht="16.5">
      <c r="A24" s="2955">
        <v>23</v>
      </c>
      <c r="B24" s="2955" t="s">
        <v>3016</v>
      </c>
      <c r="C24" s="2955" t="s">
        <v>3014</v>
      </c>
      <c r="D24" s="2955" t="s">
        <v>3038</v>
      </c>
      <c r="E24" s="2955">
        <v>99.55</v>
      </c>
      <c r="F24" s="3169">
        <v>2146796</v>
      </c>
      <c r="G24" s="3252">
        <f t="shared" si="0"/>
        <v>21565.002511300856</v>
      </c>
      <c r="I24" s="3272">
        <v>18</v>
      </c>
      <c r="J24" s="3272">
        <v>3</v>
      </c>
      <c r="K24" s="3273" t="s">
        <v>4350</v>
      </c>
      <c r="L24" s="3274" t="s">
        <v>3810</v>
      </c>
      <c r="M24" s="3275">
        <v>141.91</v>
      </c>
    </row>
    <row r="25" spans="1:13" ht="16.5">
      <c r="A25" s="2955">
        <v>24</v>
      </c>
      <c r="B25" s="2955" t="s">
        <v>3016</v>
      </c>
      <c r="C25" s="2955" t="s">
        <v>3014</v>
      </c>
      <c r="D25" s="2955" t="s">
        <v>3039</v>
      </c>
      <c r="E25" s="2955">
        <v>123.53</v>
      </c>
      <c r="F25" s="3169">
        <v>2636748</v>
      </c>
      <c r="G25" s="3252">
        <f t="shared" si="0"/>
        <v>21345.001214279931</v>
      </c>
      <c r="I25" s="3276">
        <v>17</v>
      </c>
      <c r="J25" s="3276">
        <v>2</v>
      </c>
      <c r="K25" s="3277" t="s">
        <v>4349</v>
      </c>
      <c r="L25" s="3278" t="s">
        <v>3811</v>
      </c>
      <c r="M25" s="3279">
        <v>133.13</v>
      </c>
    </row>
    <row r="26" spans="1:13" ht="16.5">
      <c r="A26" s="2955">
        <v>25</v>
      </c>
      <c r="B26" s="2955" t="s">
        <v>3016</v>
      </c>
      <c r="C26" s="2955" t="s">
        <v>3014</v>
      </c>
      <c r="D26" s="2955" t="s">
        <v>3040</v>
      </c>
      <c r="E26" s="2955">
        <v>123.53</v>
      </c>
      <c r="F26" s="3169">
        <v>2614512</v>
      </c>
      <c r="G26" s="3252">
        <f t="shared" si="0"/>
        <v>21164.996357160202</v>
      </c>
      <c r="I26" s="3276">
        <v>17</v>
      </c>
      <c r="J26" s="3276">
        <v>2</v>
      </c>
      <c r="K26" s="3277" t="s">
        <v>4357</v>
      </c>
      <c r="L26" s="3278" t="s">
        <v>3812</v>
      </c>
      <c r="M26" s="3279">
        <v>133.13</v>
      </c>
    </row>
    <row r="27" spans="1:13" ht="16.5">
      <c r="A27" s="2955">
        <v>26</v>
      </c>
      <c r="B27" s="2955" t="s">
        <v>3016</v>
      </c>
      <c r="C27" s="2955" t="s">
        <v>3014</v>
      </c>
      <c r="D27" s="2955" t="s">
        <v>3041</v>
      </c>
      <c r="E27" s="2955">
        <v>120.35</v>
      </c>
      <c r="F27" s="3169">
        <v>2544801</v>
      </c>
      <c r="G27" s="3252">
        <f t="shared" si="0"/>
        <v>21145.002077274617</v>
      </c>
      <c r="I27" s="3276">
        <v>17</v>
      </c>
      <c r="J27" s="3276">
        <v>2</v>
      </c>
      <c r="K27" s="3277" t="s">
        <v>4354</v>
      </c>
      <c r="L27" s="3278" t="s">
        <v>3813</v>
      </c>
      <c r="M27" s="3279">
        <v>127.22</v>
      </c>
    </row>
    <row r="28" spans="1:13" ht="16.5">
      <c r="A28" s="2955">
        <v>27</v>
      </c>
      <c r="B28" s="2955" t="s">
        <v>3016</v>
      </c>
      <c r="C28" s="2955" t="s">
        <v>3014</v>
      </c>
      <c r="D28" s="2955" t="s">
        <v>3042</v>
      </c>
      <c r="E28" s="2955">
        <v>125.31</v>
      </c>
      <c r="F28" s="3169">
        <v>2612087</v>
      </c>
      <c r="G28" s="3252">
        <f t="shared" si="0"/>
        <v>20845.000399010452</v>
      </c>
      <c r="I28" s="3276">
        <v>17</v>
      </c>
      <c r="J28" s="3276">
        <v>2</v>
      </c>
      <c r="K28" s="3277" t="s">
        <v>4352</v>
      </c>
      <c r="L28" s="3278" t="s">
        <v>3814</v>
      </c>
      <c r="M28" s="3279">
        <v>127.22</v>
      </c>
    </row>
    <row r="29" spans="1:13" ht="16.5">
      <c r="A29" s="2955">
        <v>28</v>
      </c>
      <c r="B29" s="2955" t="s">
        <v>3016</v>
      </c>
      <c r="C29" s="2955" t="s">
        <v>3014</v>
      </c>
      <c r="D29" s="2955" t="s">
        <v>3043</v>
      </c>
      <c r="E29" s="2955">
        <v>125.31</v>
      </c>
      <c r="F29" s="3169">
        <v>2699804</v>
      </c>
      <c r="G29" s="3252">
        <f t="shared" si="0"/>
        <v>21545.000399010452</v>
      </c>
      <c r="I29" s="3276">
        <v>17</v>
      </c>
      <c r="J29" s="3276">
        <v>2</v>
      </c>
      <c r="K29" s="3277" t="s">
        <v>4353</v>
      </c>
      <c r="L29" s="3278" t="s">
        <v>3815</v>
      </c>
      <c r="M29" s="3279">
        <v>133.13</v>
      </c>
    </row>
    <row r="30" spans="1:13" ht="16.5">
      <c r="A30" s="2955">
        <v>29</v>
      </c>
      <c r="B30" s="2955" t="s">
        <v>3016</v>
      </c>
      <c r="C30" s="2955" t="s">
        <v>3014</v>
      </c>
      <c r="D30" s="2955" t="s">
        <v>3044</v>
      </c>
      <c r="E30" s="2955">
        <v>99.55</v>
      </c>
      <c r="F30" s="3169">
        <v>2158742</v>
      </c>
      <c r="G30" s="3252">
        <f t="shared" si="0"/>
        <v>21685.002511300856</v>
      </c>
      <c r="I30" s="3276">
        <v>17</v>
      </c>
      <c r="J30" s="3276">
        <v>2</v>
      </c>
      <c r="K30" s="3277" t="s">
        <v>4350</v>
      </c>
      <c r="L30" s="3278" t="s">
        <v>3816</v>
      </c>
      <c r="M30" s="3279">
        <v>127.22</v>
      </c>
    </row>
    <row r="31" spans="1:13" ht="16.5">
      <c r="A31" s="2955">
        <v>30</v>
      </c>
      <c r="B31" s="2955" t="s">
        <v>3016</v>
      </c>
      <c r="C31" s="2955" t="s">
        <v>3014</v>
      </c>
      <c r="D31" s="2955" t="s">
        <v>3045</v>
      </c>
      <c r="E31" s="2955">
        <v>125.31</v>
      </c>
      <c r="F31" s="3169">
        <v>2699804</v>
      </c>
      <c r="G31" s="3252">
        <f t="shared" si="0"/>
        <v>21545.000399010452</v>
      </c>
      <c r="I31" s="3276">
        <v>17</v>
      </c>
      <c r="J31" s="3276">
        <v>2</v>
      </c>
      <c r="K31" s="3277" t="s">
        <v>4356</v>
      </c>
      <c r="L31" s="3278" t="s">
        <v>3817</v>
      </c>
      <c r="M31" s="3279">
        <v>159.76</v>
      </c>
    </row>
    <row r="32" spans="1:13" ht="16.5">
      <c r="A32" s="2955">
        <v>31</v>
      </c>
      <c r="B32" s="2955" t="s">
        <v>3016</v>
      </c>
      <c r="C32" s="2955" t="s">
        <v>3014</v>
      </c>
      <c r="D32" s="2955" t="s">
        <v>3046</v>
      </c>
      <c r="E32" s="2955">
        <v>125.31</v>
      </c>
      <c r="F32" s="3169">
        <v>2687273</v>
      </c>
      <c r="G32" s="3252">
        <f t="shared" si="0"/>
        <v>21445.000399010452</v>
      </c>
      <c r="I32" s="3276">
        <v>17</v>
      </c>
      <c r="J32" s="3276">
        <v>1</v>
      </c>
      <c r="K32" s="3277" t="s">
        <v>4352</v>
      </c>
      <c r="L32" s="3278" t="s">
        <v>3818</v>
      </c>
      <c r="M32" s="3279">
        <v>133.13</v>
      </c>
    </row>
    <row r="33" spans="1:13" ht="16.5">
      <c r="A33" s="2955">
        <v>32</v>
      </c>
      <c r="B33" s="2955" t="s">
        <v>3016</v>
      </c>
      <c r="C33" s="2955" t="s">
        <v>3014</v>
      </c>
      <c r="D33" s="2955" t="s">
        <v>3047</v>
      </c>
      <c r="E33" s="2955">
        <v>99.55</v>
      </c>
      <c r="F33" s="3169">
        <v>2194580</v>
      </c>
      <c r="G33" s="3252">
        <f t="shared" si="0"/>
        <v>22045.002511300856</v>
      </c>
      <c r="I33" s="3276">
        <v>17</v>
      </c>
      <c r="J33" s="3276">
        <v>1</v>
      </c>
      <c r="K33" s="3277" t="s">
        <v>4354</v>
      </c>
      <c r="L33" s="3278" t="s">
        <v>3819</v>
      </c>
      <c r="M33" s="3279">
        <v>133.13</v>
      </c>
    </row>
    <row r="34" spans="1:13" ht="16.5">
      <c r="A34" s="2955">
        <v>33</v>
      </c>
      <c r="B34" s="2955" t="s">
        <v>3016</v>
      </c>
      <c r="C34" s="2955" t="s">
        <v>3014</v>
      </c>
      <c r="D34" s="2955" t="s">
        <v>3048</v>
      </c>
      <c r="E34" s="2955">
        <v>125.31</v>
      </c>
      <c r="F34" s="3169">
        <v>2632137</v>
      </c>
      <c r="G34" s="3252">
        <f t="shared" si="0"/>
        <v>21005.003591094086</v>
      </c>
      <c r="I34" s="3276">
        <v>17</v>
      </c>
      <c r="J34" s="3276">
        <v>1</v>
      </c>
      <c r="K34" s="3277" t="s">
        <v>4357</v>
      </c>
      <c r="L34" s="3278" t="s">
        <v>3820</v>
      </c>
      <c r="M34" s="3279">
        <v>127.22</v>
      </c>
    </row>
    <row r="35" spans="1:13" ht="16.5">
      <c r="A35" s="2955">
        <v>34</v>
      </c>
      <c r="B35" s="2955" t="s">
        <v>3016</v>
      </c>
      <c r="C35" s="2955" t="s">
        <v>3014</v>
      </c>
      <c r="D35" s="2955" t="s">
        <v>3049</v>
      </c>
      <c r="E35" s="2955">
        <v>123.53</v>
      </c>
      <c r="F35" s="3169">
        <v>2592277</v>
      </c>
      <c r="G35" s="3252">
        <f t="shared" si="0"/>
        <v>20984.999595240024</v>
      </c>
      <c r="I35" s="3276">
        <v>17</v>
      </c>
      <c r="J35" s="3276">
        <v>1</v>
      </c>
      <c r="K35" s="3277" t="s">
        <v>4355</v>
      </c>
      <c r="L35" s="3278" t="s">
        <v>3821</v>
      </c>
      <c r="M35" s="3279">
        <v>127.22</v>
      </c>
    </row>
    <row r="36" spans="1:13" ht="16.5">
      <c r="A36" s="2955">
        <v>35</v>
      </c>
      <c r="B36" s="2955" t="s">
        <v>3016</v>
      </c>
      <c r="C36" s="2955" t="s">
        <v>3014</v>
      </c>
      <c r="D36" s="2955" t="s">
        <v>3050</v>
      </c>
      <c r="E36" s="2955">
        <v>99.55</v>
      </c>
      <c r="F36" s="3169">
        <v>2130868</v>
      </c>
      <c r="G36" s="3252">
        <f t="shared" si="0"/>
        <v>21405.002511300856</v>
      </c>
      <c r="I36" s="3276">
        <v>17</v>
      </c>
      <c r="J36" s="3276">
        <v>1</v>
      </c>
      <c r="K36" s="3277" t="s">
        <v>4351</v>
      </c>
      <c r="L36" s="3278" t="s">
        <v>3822</v>
      </c>
      <c r="M36" s="3279">
        <v>159.76</v>
      </c>
    </row>
    <row r="37" spans="1:13" ht="16.5">
      <c r="A37" s="2955">
        <v>36</v>
      </c>
      <c r="B37" s="2955" t="s">
        <v>3016</v>
      </c>
      <c r="C37" s="2955" t="s">
        <v>3014</v>
      </c>
      <c r="D37" s="2955" t="s">
        <v>3051</v>
      </c>
      <c r="E37" s="2955">
        <v>99.55</v>
      </c>
      <c r="F37" s="3169">
        <v>2154760</v>
      </c>
      <c r="G37" s="3252">
        <f t="shared" si="0"/>
        <v>21645.002511300856</v>
      </c>
      <c r="I37" s="3276">
        <v>17</v>
      </c>
      <c r="J37" s="3276">
        <v>1</v>
      </c>
      <c r="K37" s="3277" t="s">
        <v>4356</v>
      </c>
      <c r="L37" s="3278" t="s">
        <v>3823</v>
      </c>
      <c r="M37" s="3279">
        <v>165.51</v>
      </c>
    </row>
    <row r="38" spans="1:13" ht="16.5">
      <c r="A38" s="2955">
        <v>37</v>
      </c>
      <c r="B38" s="2955" t="s">
        <v>3016</v>
      </c>
      <c r="C38" s="2955" t="s">
        <v>3014</v>
      </c>
      <c r="D38" s="2955" t="s">
        <v>3052</v>
      </c>
      <c r="E38" s="2955">
        <v>99.55</v>
      </c>
      <c r="F38" s="3169">
        <v>2174670</v>
      </c>
      <c r="G38" s="3252">
        <f t="shared" si="0"/>
        <v>21845.002511300856</v>
      </c>
      <c r="I38" s="3276">
        <v>17</v>
      </c>
      <c r="J38" s="3276">
        <v>1</v>
      </c>
      <c r="K38" s="3277" t="s">
        <v>4350</v>
      </c>
      <c r="L38" s="3278" t="s">
        <v>3824</v>
      </c>
      <c r="M38" s="3279">
        <v>133.13</v>
      </c>
    </row>
    <row r="39" spans="1:13" ht="16.5">
      <c r="A39" s="2955">
        <v>38</v>
      </c>
      <c r="B39" s="2955" t="s">
        <v>3053</v>
      </c>
      <c r="C39" s="2955" t="s">
        <v>3054</v>
      </c>
      <c r="D39" s="2955" t="s">
        <v>3055</v>
      </c>
      <c r="E39" s="2955">
        <v>99.55</v>
      </c>
      <c r="F39" s="3169">
        <v>2152769</v>
      </c>
      <c r="G39" s="3252">
        <f t="shared" si="0"/>
        <v>21625.002511300856</v>
      </c>
      <c r="I39" s="3268">
        <v>10</v>
      </c>
      <c r="J39" s="3268">
        <v>5</v>
      </c>
      <c r="K39" s="3268">
        <v>502</v>
      </c>
      <c r="L39" s="3270" t="s">
        <v>3825</v>
      </c>
      <c r="M39" s="3271">
        <v>96.78</v>
      </c>
    </row>
    <row r="40" spans="1:13" ht="16.5">
      <c r="A40" s="2955">
        <v>39</v>
      </c>
      <c r="B40" s="2955" t="s">
        <v>3053</v>
      </c>
      <c r="C40" s="2955" t="s">
        <v>3054</v>
      </c>
      <c r="D40" s="2955" t="s">
        <v>3056</v>
      </c>
      <c r="E40" s="2955">
        <v>122.15</v>
      </c>
      <c r="F40" s="3169">
        <v>2509572</v>
      </c>
      <c r="G40" s="3252">
        <f t="shared" si="0"/>
        <v>20545.002046663936</v>
      </c>
      <c r="I40" s="3268">
        <v>10</v>
      </c>
      <c r="J40" s="3268">
        <v>1</v>
      </c>
      <c r="K40" s="3268">
        <v>402</v>
      </c>
      <c r="L40" s="3270" t="s">
        <v>3826</v>
      </c>
      <c r="M40" s="3271">
        <v>97.6</v>
      </c>
    </row>
    <row r="41" spans="1:13" ht="16.5">
      <c r="A41" s="2955">
        <v>40</v>
      </c>
      <c r="B41" s="2955" t="s">
        <v>3053</v>
      </c>
      <c r="C41" s="2955" t="s">
        <v>3054</v>
      </c>
      <c r="D41" s="2955" t="s">
        <v>3057</v>
      </c>
      <c r="E41" s="2955">
        <v>99.55</v>
      </c>
      <c r="F41" s="3169">
        <v>2148787</v>
      </c>
      <c r="G41" s="3252">
        <f t="shared" si="0"/>
        <v>21585.002511300856</v>
      </c>
      <c r="I41" s="3280">
        <v>10</v>
      </c>
      <c r="J41" s="3280">
        <v>5</v>
      </c>
      <c r="K41" s="3268">
        <v>401</v>
      </c>
      <c r="L41" s="3270" t="s">
        <v>3827</v>
      </c>
      <c r="M41" s="3271">
        <v>97.6</v>
      </c>
    </row>
    <row r="42" spans="1:13" ht="16.5">
      <c r="A42" s="2955">
        <v>41</v>
      </c>
      <c r="B42" s="2955" t="s">
        <v>3053</v>
      </c>
      <c r="C42" s="2955" t="s">
        <v>3054</v>
      </c>
      <c r="D42" s="2955" t="s">
        <v>3058</v>
      </c>
      <c r="E42" s="2955">
        <v>125.31</v>
      </c>
      <c r="F42" s="3169">
        <v>2662211</v>
      </c>
      <c r="G42" s="3252">
        <f t="shared" si="0"/>
        <v>21245.000399010452</v>
      </c>
      <c r="I42" s="3280">
        <v>10</v>
      </c>
      <c r="J42" s="3280">
        <v>1</v>
      </c>
      <c r="K42" s="3268">
        <v>201</v>
      </c>
      <c r="L42" s="3270" t="s">
        <v>3828</v>
      </c>
      <c r="M42" s="3271">
        <v>96.78</v>
      </c>
    </row>
    <row r="43" spans="1:13" ht="16.5">
      <c r="A43" s="2955">
        <v>42</v>
      </c>
      <c r="B43" s="2955" t="s">
        <v>3053</v>
      </c>
      <c r="C43" s="2955" t="s">
        <v>3054</v>
      </c>
      <c r="D43" s="2955" t="s">
        <v>3059</v>
      </c>
      <c r="E43" s="2955">
        <v>97.87</v>
      </c>
      <c r="F43" s="3169">
        <v>2128183</v>
      </c>
      <c r="G43" s="3252">
        <f t="shared" si="0"/>
        <v>21744.998467354653</v>
      </c>
      <c r="I43" s="3280">
        <v>10</v>
      </c>
      <c r="J43" s="3280">
        <v>2</v>
      </c>
      <c r="K43" s="3268">
        <v>202</v>
      </c>
      <c r="L43" s="3270" t="s">
        <v>3829</v>
      </c>
      <c r="M43" s="3271">
        <v>97.15</v>
      </c>
    </row>
    <row r="44" spans="1:13" ht="16.5">
      <c r="A44" s="2955">
        <v>43</v>
      </c>
      <c r="B44" s="2955" t="s">
        <v>3053</v>
      </c>
      <c r="C44" s="2955" t="s">
        <v>3054</v>
      </c>
      <c r="D44" s="2955" t="s">
        <v>3060</v>
      </c>
      <c r="E44" s="2955">
        <v>99.55</v>
      </c>
      <c r="F44" s="3169">
        <v>2194580</v>
      </c>
      <c r="G44" s="3252">
        <f t="shared" si="0"/>
        <v>22045.002511300856</v>
      </c>
      <c r="I44" s="3280">
        <v>10</v>
      </c>
      <c r="J44" s="3280">
        <v>1</v>
      </c>
      <c r="K44" s="3268">
        <v>302</v>
      </c>
      <c r="L44" s="3270" t="s">
        <v>3830</v>
      </c>
      <c r="M44" s="3271">
        <v>97.6</v>
      </c>
    </row>
    <row r="45" spans="1:13" ht="16.5">
      <c r="A45" s="2955">
        <v>44</v>
      </c>
      <c r="B45" s="2955" t="s">
        <v>3053</v>
      </c>
      <c r="C45" s="2955" t="s">
        <v>3054</v>
      </c>
      <c r="D45" s="2955" t="s">
        <v>3061</v>
      </c>
      <c r="E45" s="2955">
        <v>125.31</v>
      </c>
      <c r="F45" s="3169">
        <v>2624618</v>
      </c>
      <c r="G45" s="3252">
        <f t="shared" si="0"/>
        <v>20945.000399010452</v>
      </c>
      <c r="I45" s="3280">
        <v>10</v>
      </c>
      <c r="J45" s="3280">
        <v>3</v>
      </c>
      <c r="K45" s="3268">
        <v>302</v>
      </c>
      <c r="L45" s="3270" t="s">
        <v>3831</v>
      </c>
      <c r="M45" s="3271">
        <v>97.15</v>
      </c>
    </row>
    <row r="46" spans="1:13" ht="16.5">
      <c r="A46" s="2955">
        <v>45</v>
      </c>
      <c r="B46" s="2955" t="s">
        <v>3053</v>
      </c>
      <c r="C46" s="2955" t="s">
        <v>3054</v>
      </c>
      <c r="D46" s="2955" t="s">
        <v>3062</v>
      </c>
      <c r="E46" s="2955">
        <v>99.55</v>
      </c>
      <c r="F46" s="3169">
        <v>2176661</v>
      </c>
      <c r="G46" s="3252">
        <f t="shared" si="0"/>
        <v>21865.002511300856</v>
      </c>
      <c r="I46" s="3272">
        <v>18</v>
      </c>
      <c r="J46" s="3272">
        <v>1</v>
      </c>
      <c r="K46" s="3273" t="s">
        <v>4358</v>
      </c>
      <c r="L46" s="3274" t="s">
        <v>3832</v>
      </c>
      <c r="M46" s="3275">
        <v>132.19</v>
      </c>
    </row>
    <row r="47" spans="1:13" ht="16.5">
      <c r="A47" s="2955">
        <v>46</v>
      </c>
      <c r="B47" s="2955" t="s">
        <v>3053</v>
      </c>
      <c r="C47" s="2955" t="s">
        <v>3054</v>
      </c>
      <c r="D47" s="2955" t="s">
        <v>3063</v>
      </c>
      <c r="E47" s="2955">
        <v>125.31</v>
      </c>
      <c r="F47" s="3169">
        <v>2654692</v>
      </c>
      <c r="G47" s="3252">
        <f t="shared" si="0"/>
        <v>21184.997206926822</v>
      </c>
      <c r="I47" s="3272">
        <v>18</v>
      </c>
      <c r="J47" s="3272">
        <v>1</v>
      </c>
      <c r="K47" s="3273" t="s">
        <v>4359</v>
      </c>
      <c r="L47" s="3274" t="s">
        <v>3833</v>
      </c>
      <c r="M47" s="3275">
        <v>126.32</v>
      </c>
    </row>
    <row r="48" spans="1:13" ht="16.5">
      <c r="A48" s="2955">
        <v>47</v>
      </c>
      <c r="B48" s="2955" t="s">
        <v>3053</v>
      </c>
      <c r="C48" s="2955" t="s">
        <v>3054</v>
      </c>
      <c r="D48" s="2955" t="s">
        <v>3064</v>
      </c>
      <c r="E48" s="2955">
        <v>123.53</v>
      </c>
      <c r="F48" s="3169">
        <v>2599689</v>
      </c>
      <c r="G48" s="3252">
        <f t="shared" si="0"/>
        <v>21045.001214279931</v>
      </c>
      <c r="I48" s="3272">
        <v>18</v>
      </c>
      <c r="J48" s="3272">
        <v>2</v>
      </c>
      <c r="K48" s="3273" t="s">
        <v>4358</v>
      </c>
      <c r="L48" s="3274" t="s">
        <v>3834</v>
      </c>
      <c r="M48" s="3275">
        <v>142.19999999999999</v>
      </c>
    </row>
    <row r="49" spans="1:13" ht="16.5">
      <c r="A49" s="2955">
        <v>48</v>
      </c>
      <c r="B49" s="2955" t="s">
        <v>3053</v>
      </c>
      <c r="C49" s="2955" t="s">
        <v>3054</v>
      </c>
      <c r="D49" s="2955" t="s">
        <v>3065</v>
      </c>
      <c r="E49" s="2955">
        <v>125.31</v>
      </c>
      <c r="F49" s="3169">
        <v>2662211</v>
      </c>
      <c r="G49" s="3252">
        <f t="shared" si="0"/>
        <v>21245.000399010452</v>
      </c>
      <c r="I49" s="3272">
        <v>18</v>
      </c>
      <c r="J49" s="3272">
        <v>2</v>
      </c>
      <c r="K49" s="3273" t="s">
        <v>4359</v>
      </c>
      <c r="L49" s="3274" t="s">
        <v>3835</v>
      </c>
      <c r="M49" s="3275">
        <v>141.91</v>
      </c>
    </row>
    <row r="50" spans="1:13" ht="16.5">
      <c r="A50" s="2955">
        <v>49</v>
      </c>
      <c r="B50" s="2955" t="s">
        <v>3053</v>
      </c>
      <c r="C50" s="2955" t="s">
        <v>3054</v>
      </c>
      <c r="D50" s="2955" t="s">
        <v>3066</v>
      </c>
      <c r="E50" s="2955">
        <v>99.55</v>
      </c>
      <c r="F50" s="3169">
        <v>2121386</v>
      </c>
      <c r="G50" s="3252">
        <f t="shared" si="0"/>
        <v>21309.753892516324</v>
      </c>
      <c r="I50" s="3272">
        <v>18</v>
      </c>
      <c r="J50" s="3272">
        <v>3</v>
      </c>
      <c r="K50" s="3273" t="s">
        <v>4358</v>
      </c>
      <c r="L50" s="3274" t="s">
        <v>3836</v>
      </c>
      <c r="M50" s="3275">
        <v>141.91</v>
      </c>
    </row>
    <row r="51" spans="1:13" ht="16.5">
      <c r="A51" s="2955">
        <v>50</v>
      </c>
      <c r="B51" s="2955" t="s">
        <v>3053</v>
      </c>
      <c r="C51" s="2955" t="s">
        <v>3054</v>
      </c>
      <c r="D51" s="2955" t="s">
        <v>3067</v>
      </c>
      <c r="E51" s="2955">
        <v>125.31</v>
      </c>
      <c r="F51" s="3169">
        <v>2620703</v>
      </c>
      <c r="G51" s="3252">
        <f t="shared" si="0"/>
        <v>20913.757880456469</v>
      </c>
      <c r="I51" s="3272">
        <v>18</v>
      </c>
      <c r="J51" s="3272">
        <v>3</v>
      </c>
      <c r="K51" s="3273" t="s">
        <v>4359</v>
      </c>
      <c r="L51" s="3274" t="s">
        <v>3837</v>
      </c>
      <c r="M51" s="3275">
        <v>207.48</v>
      </c>
    </row>
    <row r="52" spans="1:13" ht="16.5">
      <c r="A52" s="2955">
        <v>51</v>
      </c>
      <c r="B52" s="2955" t="s">
        <v>3053</v>
      </c>
      <c r="C52" s="2955" t="s">
        <v>3054</v>
      </c>
      <c r="D52" s="2955" t="s">
        <v>3068</v>
      </c>
      <c r="E52" s="2955">
        <v>125.31</v>
      </c>
      <c r="F52" s="3169">
        <v>2669730</v>
      </c>
      <c r="G52" s="3252">
        <f t="shared" si="0"/>
        <v>21305.003591094086</v>
      </c>
      <c r="I52" s="3276">
        <v>17</v>
      </c>
      <c r="J52" s="3276">
        <v>1</v>
      </c>
      <c r="K52" s="3277" t="s">
        <v>4358</v>
      </c>
      <c r="L52" s="3278" t="s">
        <v>3838</v>
      </c>
      <c r="M52" s="3279">
        <v>133.13</v>
      </c>
    </row>
    <row r="53" spans="1:13" ht="16.5">
      <c r="A53" s="2955">
        <v>52</v>
      </c>
      <c r="B53" s="2955" t="s">
        <v>3053</v>
      </c>
      <c r="C53" s="2955" t="s">
        <v>3054</v>
      </c>
      <c r="D53" s="2955" t="s">
        <v>3069</v>
      </c>
      <c r="E53" s="2955">
        <v>99.55</v>
      </c>
      <c r="F53" s="3169">
        <v>2166706</v>
      </c>
      <c r="G53" s="3252">
        <f t="shared" si="0"/>
        <v>21765.002511300856</v>
      </c>
      <c r="I53" s="3276">
        <v>17</v>
      </c>
      <c r="J53" s="3276">
        <v>1</v>
      </c>
      <c r="K53" s="3277" t="s">
        <v>4359</v>
      </c>
      <c r="L53" s="3278" t="s">
        <v>3839</v>
      </c>
      <c r="M53" s="3279">
        <v>127.22</v>
      </c>
    </row>
    <row r="54" spans="1:13" ht="16.5">
      <c r="A54" s="2955">
        <v>53</v>
      </c>
      <c r="B54" s="2955" t="s">
        <v>3053</v>
      </c>
      <c r="C54" s="2955" t="s">
        <v>3054</v>
      </c>
      <c r="D54" s="2955" t="s">
        <v>3070</v>
      </c>
      <c r="E54" s="2955">
        <v>125.31</v>
      </c>
      <c r="F54" s="3169">
        <v>2699804</v>
      </c>
      <c r="G54" s="3252">
        <f t="shared" si="0"/>
        <v>21545.000399010452</v>
      </c>
      <c r="I54" s="3276">
        <v>17</v>
      </c>
      <c r="J54" s="3276">
        <v>2</v>
      </c>
      <c r="K54" s="3277" t="s">
        <v>4358</v>
      </c>
      <c r="L54" s="3278" t="s">
        <v>3840</v>
      </c>
      <c r="M54" s="3279">
        <v>127.22</v>
      </c>
    </row>
    <row r="55" spans="1:13" ht="16.5">
      <c r="A55" s="2955">
        <v>54</v>
      </c>
      <c r="B55" s="2955" t="s">
        <v>3053</v>
      </c>
      <c r="C55" s="2955" t="s">
        <v>3054</v>
      </c>
      <c r="D55" s="2955" t="s">
        <v>3071</v>
      </c>
      <c r="E55" s="2955">
        <v>125.31</v>
      </c>
      <c r="F55" s="3169">
        <v>2639655</v>
      </c>
      <c r="G55" s="3252">
        <f t="shared" si="0"/>
        <v>21064.998802968639</v>
      </c>
      <c r="I55" s="3276">
        <v>17</v>
      </c>
      <c r="J55" s="3276">
        <v>2</v>
      </c>
      <c r="K55" s="3277" t="s">
        <v>4359</v>
      </c>
      <c r="L55" s="3278" t="s">
        <v>3841</v>
      </c>
      <c r="M55" s="3279">
        <v>133.13</v>
      </c>
    </row>
    <row r="56" spans="1:13" ht="16.5">
      <c r="A56" s="2955">
        <v>55</v>
      </c>
      <c r="B56" s="2955" t="s">
        <v>3053</v>
      </c>
      <c r="C56" s="2955" t="s">
        <v>3054</v>
      </c>
      <c r="D56" s="2955" t="s">
        <v>3072</v>
      </c>
      <c r="E56" s="2955">
        <v>99.55</v>
      </c>
      <c r="F56" s="3169">
        <v>2164715</v>
      </c>
      <c r="G56" s="3252">
        <f t="shared" si="0"/>
        <v>21745.002511300856</v>
      </c>
      <c r="I56" s="3264">
        <v>12</v>
      </c>
      <c r="J56" s="3264">
        <v>1</v>
      </c>
      <c r="K56" s="3265" t="s">
        <v>4358</v>
      </c>
      <c r="L56" s="3266" t="s">
        <v>3842</v>
      </c>
      <c r="M56" s="3267">
        <v>97.24</v>
      </c>
    </row>
    <row r="57" spans="1:13" ht="16.5">
      <c r="A57" s="2955">
        <v>56</v>
      </c>
      <c r="B57" s="2955" t="s">
        <v>3053</v>
      </c>
      <c r="C57" s="2955" t="s">
        <v>3054</v>
      </c>
      <c r="D57" s="2955" t="s">
        <v>3073</v>
      </c>
      <c r="E57" s="2955">
        <v>125.31</v>
      </c>
      <c r="F57" s="3169">
        <v>2677248</v>
      </c>
      <c r="G57" s="3252">
        <f t="shared" si="0"/>
        <v>21364.998802968636</v>
      </c>
      <c r="I57" s="3264">
        <v>12</v>
      </c>
      <c r="J57" s="3264">
        <v>1</v>
      </c>
      <c r="K57" s="3265" t="s">
        <v>4359</v>
      </c>
      <c r="L57" s="3266" t="s">
        <v>3843</v>
      </c>
      <c r="M57" s="3267">
        <v>96.43</v>
      </c>
    </row>
    <row r="58" spans="1:13" ht="16.5">
      <c r="A58" s="2955">
        <v>57</v>
      </c>
      <c r="B58" s="2955" t="s">
        <v>3053</v>
      </c>
      <c r="C58" s="2955" t="s">
        <v>3054</v>
      </c>
      <c r="D58" s="2955" t="s">
        <v>3074</v>
      </c>
      <c r="E58" s="2955">
        <v>123.53</v>
      </c>
      <c r="F58" s="3169">
        <v>2607101</v>
      </c>
      <c r="G58" s="3252">
        <f t="shared" si="0"/>
        <v>21105.002833319842</v>
      </c>
      <c r="I58" s="3268">
        <v>10</v>
      </c>
      <c r="J58" s="3268">
        <v>1</v>
      </c>
      <c r="K58" s="3269" t="s">
        <v>4358</v>
      </c>
      <c r="L58" s="3270" t="s">
        <v>3844</v>
      </c>
      <c r="M58" s="3271">
        <v>97.6</v>
      </c>
    </row>
    <row r="59" spans="1:13" ht="16.5">
      <c r="A59" s="2955">
        <v>58</v>
      </c>
      <c r="B59" s="2955" t="s">
        <v>3053</v>
      </c>
      <c r="C59" s="2955" t="s">
        <v>3054</v>
      </c>
      <c r="D59" s="2955" t="s">
        <v>3075</v>
      </c>
      <c r="E59" s="2955">
        <v>99.55</v>
      </c>
      <c r="F59" s="3169">
        <v>2184625</v>
      </c>
      <c r="G59" s="3252">
        <f t="shared" si="0"/>
        <v>21945.002511300856</v>
      </c>
      <c r="I59" s="3264">
        <v>12</v>
      </c>
      <c r="J59" s="3264">
        <v>5</v>
      </c>
      <c r="K59" s="3265" t="s">
        <v>4359</v>
      </c>
      <c r="L59" s="3266" t="s">
        <v>3845</v>
      </c>
      <c r="M59" s="3267">
        <v>97.24</v>
      </c>
    </row>
    <row r="60" spans="1:13" ht="16.5">
      <c r="A60" s="2955">
        <v>59</v>
      </c>
      <c r="B60" s="2955" t="s">
        <v>3053</v>
      </c>
      <c r="C60" s="2955" t="s">
        <v>3054</v>
      </c>
      <c r="D60" s="2955" t="s">
        <v>3076</v>
      </c>
      <c r="E60" s="2955">
        <v>123.53</v>
      </c>
      <c r="F60" s="3169">
        <v>2577453</v>
      </c>
      <c r="G60" s="3252">
        <f t="shared" si="0"/>
        <v>20864.996357160202</v>
      </c>
      <c r="I60" s="3264">
        <v>12</v>
      </c>
      <c r="J60" s="3264">
        <v>5</v>
      </c>
      <c r="K60" s="3265" t="s">
        <v>4358</v>
      </c>
      <c r="L60" s="3266" t="s">
        <v>3846</v>
      </c>
      <c r="M60" s="3267">
        <v>96.43</v>
      </c>
    </row>
    <row r="61" spans="1:13" ht="16.5">
      <c r="A61" s="2955">
        <v>60</v>
      </c>
      <c r="B61" s="2955" t="s">
        <v>3053</v>
      </c>
      <c r="C61" s="2955" t="s">
        <v>3054</v>
      </c>
      <c r="D61" s="2955" t="s">
        <v>3077</v>
      </c>
      <c r="E61" s="2955">
        <v>123.53</v>
      </c>
      <c r="F61" s="3169">
        <v>2636748</v>
      </c>
      <c r="G61" s="3252">
        <f t="shared" si="0"/>
        <v>21345.001214279931</v>
      </c>
      <c r="I61" s="3264">
        <v>12</v>
      </c>
      <c r="J61" s="3264">
        <v>4</v>
      </c>
      <c r="K61" s="3265" t="s">
        <v>4359</v>
      </c>
      <c r="L61" s="3266" t="s">
        <v>3847</v>
      </c>
      <c r="M61" s="3267">
        <v>96.8</v>
      </c>
    </row>
    <row r="62" spans="1:13" ht="16.5">
      <c r="A62" s="2955">
        <v>61</v>
      </c>
      <c r="B62" s="2955" t="s">
        <v>3053</v>
      </c>
      <c r="C62" s="2955" t="s">
        <v>3054</v>
      </c>
      <c r="D62" s="2955" t="s">
        <v>3078</v>
      </c>
      <c r="E62" s="2955">
        <v>125.31</v>
      </c>
      <c r="F62" s="3169">
        <v>2649680</v>
      </c>
      <c r="G62" s="3252">
        <f t="shared" si="0"/>
        <v>21145.000399010452</v>
      </c>
      <c r="I62" s="3268">
        <v>10</v>
      </c>
      <c r="J62" s="3268">
        <v>5</v>
      </c>
      <c r="K62" s="3269" t="s">
        <v>4359</v>
      </c>
      <c r="L62" s="3270" t="s">
        <v>3848</v>
      </c>
      <c r="M62" s="3271">
        <v>97.6</v>
      </c>
    </row>
    <row r="63" spans="1:13" ht="16.5">
      <c r="A63" s="2955">
        <v>62</v>
      </c>
      <c r="B63" s="2955" t="s">
        <v>3053</v>
      </c>
      <c r="C63" s="2955" t="s">
        <v>3054</v>
      </c>
      <c r="D63" s="2955" t="s">
        <v>3079</v>
      </c>
      <c r="E63" s="2955">
        <v>99.55</v>
      </c>
      <c r="F63" s="3169">
        <v>2194580</v>
      </c>
      <c r="G63" s="3252">
        <f t="shared" si="0"/>
        <v>22045.002511300856</v>
      </c>
      <c r="I63" s="3268">
        <v>10</v>
      </c>
      <c r="J63" s="3268">
        <v>5</v>
      </c>
      <c r="K63" s="3269" t="s">
        <v>4358</v>
      </c>
      <c r="L63" s="3270" t="s">
        <v>3849</v>
      </c>
      <c r="M63" s="3271">
        <v>96.78</v>
      </c>
    </row>
    <row r="64" spans="1:13" ht="16.5">
      <c r="A64" s="2955">
        <v>63</v>
      </c>
      <c r="B64" s="2955" t="s">
        <v>3053</v>
      </c>
      <c r="C64" s="2955" t="s">
        <v>3054</v>
      </c>
      <c r="D64" s="2955" t="s">
        <v>3080</v>
      </c>
      <c r="E64" s="2955">
        <v>123.53</v>
      </c>
      <c r="F64" s="3169">
        <v>2599689</v>
      </c>
      <c r="G64" s="3252">
        <f t="shared" si="0"/>
        <v>21045.001214279931</v>
      </c>
      <c r="I64" s="3268">
        <v>10</v>
      </c>
      <c r="J64" s="3268">
        <v>4</v>
      </c>
      <c r="K64" s="3269" t="s">
        <v>4359</v>
      </c>
      <c r="L64" s="3270" t="s">
        <v>3850</v>
      </c>
      <c r="M64" s="3271">
        <v>96.78</v>
      </c>
    </row>
    <row r="65" spans="1:13" ht="16.5">
      <c r="A65" s="2955">
        <v>64</v>
      </c>
      <c r="B65" s="2955" t="s">
        <v>3053</v>
      </c>
      <c r="C65" s="2955" t="s">
        <v>3054</v>
      </c>
      <c r="D65" s="2955" t="s">
        <v>3081</v>
      </c>
      <c r="E65" s="2955">
        <v>125.31</v>
      </c>
      <c r="F65" s="3169">
        <v>2624618</v>
      </c>
      <c r="G65" s="3252">
        <f t="shared" si="0"/>
        <v>20945.000399010452</v>
      </c>
      <c r="I65" s="3268">
        <v>10</v>
      </c>
      <c r="J65" s="3268">
        <v>4</v>
      </c>
      <c r="K65" s="3269" t="s">
        <v>4358</v>
      </c>
      <c r="L65" s="3270" t="s">
        <v>3851</v>
      </c>
      <c r="M65" s="3271">
        <v>97.15</v>
      </c>
    </row>
    <row r="66" spans="1:13" ht="16.5">
      <c r="A66" s="2955">
        <v>65</v>
      </c>
      <c r="B66" s="2955" t="s">
        <v>3053</v>
      </c>
      <c r="C66" s="2955" t="s">
        <v>3054</v>
      </c>
      <c r="D66" s="2955" t="s">
        <v>3082</v>
      </c>
      <c r="E66" s="2955">
        <v>123.53</v>
      </c>
      <c r="F66" s="3169">
        <v>2624395</v>
      </c>
      <c r="G66" s="3252">
        <f t="shared" si="0"/>
        <v>21245.001214279931</v>
      </c>
      <c r="I66" s="3268">
        <v>10</v>
      </c>
      <c r="J66" s="3268">
        <v>3</v>
      </c>
      <c r="K66" s="3269" t="s">
        <v>4359</v>
      </c>
      <c r="L66" s="3270" t="s">
        <v>3852</v>
      </c>
      <c r="M66" s="3271">
        <v>96.78</v>
      </c>
    </row>
    <row r="67" spans="1:13" ht="16.5">
      <c r="A67" s="2955">
        <v>66</v>
      </c>
      <c r="B67" s="2955" t="s">
        <v>3053</v>
      </c>
      <c r="C67" s="2955" t="s">
        <v>3054</v>
      </c>
      <c r="D67" s="2955" t="s">
        <v>3083</v>
      </c>
      <c r="E67" s="2955">
        <v>99.55</v>
      </c>
      <c r="F67" s="3169">
        <v>2140823</v>
      </c>
      <c r="G67" s="3252">
        <f t="shared" ref="G67:G130" si="1">F67/E67</f>
        <v>21505.002511300856</v>
      </c>
      <c r="I67" s="3268">
        <v>10</v>
      </c>
      <c r="J67" s="3268">
        <v>3</v>
      </c>
      <c r="K67" s="3269" t="s">
        <v>4358</v>
      </c>
      <c r="L67" s="3270" t="s">
        <v>3853</v>
      </c>
      <c r="M67" s="3271">
        <v>97.15</v>
      </c>
    </row>
    <row r="68" spans="1:13" ht="16.5">
      <c r="A68" s="2955">
        <v>67</v>
      </c>
      <c r="B68" s="2955" t="s">
        <v>3016</v>
      </c>
      <c r="C68" s="2955" t="s">
        <v>3014</v>
      </c>
      <c r="D68" s="2955" t="s">
        <v>3084</v>
      </c>
      <c r="E68" s="2955">
        <v>97.87</v>
      </c>
      <c r="F68" s="3169">
        <v>2040100</v>
      </c>
      <c r="G68" s="3252">
        <f t="shared" si="1"/>
        <v>20844.998467354653</v>
      </c>
      <c r="I68" s="3268">
        <v>10</v>
      </c>
      <c r="J68" s="3268">
        <v>2</v>
      </c>
      <c r="K68" s="3269" t="s">
        <v>4359</v>
      </c>
      <c r="L68" s="3270" t="s">
        <v>3854</v>
      </c>
      <c r="M68" s="3271">
        <v>96.78</v>
      </c>
    </row>
    <row r="69" spans="1:13" ht="16.5">
      <c r="A69" s="2955">
        <v>68</v>
      </c>
      <c r="B69" s="2955" t="s">
        <v>3016</v>
      </c>
      <c r="C69" s="2955" t="s">
        <v>3014</v>
      </c>
      <c r="D69" s="2955" t="s">
        <v>3085</v>
      </c>
      <c r="E69" s="2955">
        <v>97.87</v>
      </c>
      <c r="F69" s="3169">
        <v>2049887</v>
      </c>
      <c r="G69" s="3252">
        <f t="shared" si="1"/>
        <v>20944.998467354653</v>
      </c>
      <c r="I69" s="3268">
        <v>10</v>
      </c>
      <c r="J69" s="3268">
        <v>2</v>
      </c>
      <c r="K69" s="3269" t="s">
        <v>4358</v>
      </c>
      <c r="L69" s="3270" t="s">
        <v>3855</v>
      </c>
      <c r="M69" s="3271">
        <v>97.15</v>
      </c>
    </row>
    <row r="70" spans="1:13" ht="16.5">
      <c r="A70" s="2955">
        <v>69</v>
      </c>
      <c r="B70" s="2955" t="s">
        <v>3016</v>
      </c>
      <c r="C70" s="2955" t="s">
        <v>3014</v>
      </c>
      <c r="D70" s="2955" t="s">
        <v>3086</v>
      </c>
      <c r="E70" s="2955">
        <v>99.55</v>
      </c>
      <c r="F70" s="3169">
        <v>2114940</v>
      </c>
      <c r="G70" s="3252">
        <f t="shared" si="1"/>
        <v>21245.002511300856</v>
      </c>
      <c r="I70" s="3268">
        <v>10</v>
      </c>
      <c r="J70" s="3268">
        <v>1</v>
      </c>
      <c r="K70" s="3269" t="s">
        <v>4359</v>
      </c>
      <c r="L70" s="3270" t="s">
        <v>3856</v>
      </c>
      <c r="M70" s="3271">
        <v>96.78</v>
      </c>
    </row>
    <row r="71" spans="1:13" ht="16.5">
      <c r="A71" s="2955">
        <v>70</v>
      </c>
      <c r="B71" s="2955" t="s">
        <v>3016</v>
      </c>
      <c r="C71" s="2955" t="s">
        <v>3014</v>
      </c>
      <c r="D71" s="2955" t="s">
        <v>3087</v>
      </c>
      <c r="E71" s="2955">
        <v>99.55</v>
      </c>
      <c r="F71" s="3169">
        <v>2095030</v>
      </c>
      <c r="G71" s="3252">
        <f t="shared" si="1"/>
        <v>21045.002511300856</v>
      </c>
      <c r="I71" s="3264">
        <v>12</v>
      </c>
      <c r="J71" s="3264">
        <v>4</v>
      </c>
      <c r="K71" s="3265" t="s">
        <v>4358</v>
      </c>
      <c r="L71" s="3266" t="s">
        <v>3857</v>
      </c>
      <c r="M71" s="3267">
        <v>96.43</v>
      </c>
    </row>
    <row r="72" spans="1:13" ht="16.5">
      <c r="A72" s="2955">
        <v>71</v>
      </c>
      <c r="B72" s="2955" t="s">
        <v>3016</v>
      </c>
      <c r="C72" s="2955" t="s">
        <v>3014</v>
      </c>
      <c r="D72" s="2955" t="s">
        <v>3088</v>
      </c>
      <c r="E72" s="2955">
        <v>99.55</v>
      </c>
      <c r="F72" s="3169">
        <v>2104985</v>
      </c>
      <c r="G72" s="3252">
        <f t="shared" si="1"/>
        <v>21145.002511300856</v>
      </c>
      <c r="I72" s="3264">
        <v>12</v>
      </c>
      <c r="J72" s="3264">
        <v>3</v>
      </c>
      <c r="K72" s="3265" t="s">
        <v>4359</v>
      </c>
      <c r="L72" s="3266" t="s">
        <v>3858</v>
      </c>
      <c r="M72" s="3267">
        <v>96.8</v>
      </c>
    </row>
    <row r="73" spans="1:13" ht="16.5">
      <c r="A73" s="2955">
        <v>72</v>
      </c>
      <c r="B73" s="2955" t="s">
        <v>3016</v>
      </c>
      <c r="C73" s="2955" t="s">
        <v>3014</v>
      </c>
      <c r="D73" s="2955" t="s">
        <v>3089</v>
      </c>
      <c r="E73" s="2955">
        <v>120.35</v>
      </c>
      <c r="F73" s="3169">
        <v>2472591</v>
      </c>
      <c r="G73" s="3252">
        <f t="shared" si="1"/>
        <v>20545.002077274617</v>
      </c>
      <c r="I73" s="3264">
        <v>12</v>
      </c>
      <c r="J73" s="3264">
        <v>3</v>
      </c>
      <c r="K73" s="3265" t="s">
        <v>4358</v>
      </c>
      <c r="L73" s="3266" t="s">
        <v>3859</v>
      </c>
      <c r="M73" s="3267">
        <v>96.43</v>
      </c>
    </row>
    <row r="74" spans="1:13" ht="16.5">
      <c r="A74" s="2955">
        <v>73</v>
      </c>
      <c r="B74" s="2955" t="s">
        <v>3016</v>
      </c>
      <c r="C74" s="2955" t="s">
        <v>3014</v>
      </c>
      <c r="D74" s="2955" t="s">
        <v>3090</v>
      </c>
      <c r="E74" s="2955">
        <v>123.53</v>
      </c>
      <c r="F74" s="3169">
        <v>2562630</v>
      </c>
      <c r="G74" s="3252">
        <f t="shared" si="1"/>
        <v>20745.001214279931</v>
      </c>
      <c r="I74" s="3264">
        <v>12</v>
      </c>
      <c r="J74" s="3264">
        <v>2</v>
      </c>
      <c r="K74" s="3265" t="s">
        <v>4359</v>
      </c>
      <c r="L74" s="3266" t="s">
        <v>3860</v>
      </c>
      <c r="M74" s="3267">
        <v>96.8</v>
      </c>
    </row>
    <row r="75" spans="1:13" ht="16.5">
      <c r="A75" s="2955">
        <v>74</v>
      </c>
      <c r="B75" s="2955" t="s">
        <v>3016</v>
      </c>
      <c r="C75" s="2955" t="s">
        <v>3014</v>
      </c>
      <c r="D75" s="2955" t="s">
        <v>3091</v>
      </c>
      <c r="E75" s="2955">
        <v>97.87</v>
      </c>
      <c r="F75" s="3169">
        <v>2137970</v>
      </c>
      <c r="G75" s="3252">
        <f t="shared" si="1"/>
        <v>21844.998467354653</v>
      </c>
      <c r="I75" s="3264">
        <v>12</v>
      </c>
      <c r="J75" s="3264">
        <v>2</v>
      </c>
      <c r="K75" s="3265" t="s">
        <v>4358</v>
      </c>
      <c r="L75" s="3266" t="s">
        <v>3861</v>
      </c>
      <c r="M75" s="3267">
        <v>96.43</v>
      </c>
    </row>
    <row r="76" spans="1:13" ht="16.5">
      <c r="A76" s="2955">
        <v>75</v>
      </c>
      <c r="B76" s="2955" t="s">
        <v>3016</v>
      </c>
      <c r="C76" s="2955" t="s">
        <v>3014</v>
      </c>
      <c r="D76" s="2955" t="s">
        <v>3092</v>
      </c>
      <c r="E76" s="2955">
        <v>99.55</v>
      </c>
      <c r="F76" s="3169">
        <v>2134850</v>
      </c>
      <c r="G76" s="3252">
        <f t="shared" si="1"/>
        <v>21445.002511300856</v>
      </c>
      <c r="I76" s="3268">
        <v>10</v>
      </c>
      <c r="J76" s="3268">
        <v>1</v>
      </c>
      <c r="K76" s="3269" t="s">
        <v>4360</v>
      </c>
      <c r="L76" s="3270" t="s">
        <v>3862</v>
      </c>
      <c r="M76" s="3271">
        <v>97.6</v>
      </c>
    </row>
    <row r="77" spans="1:13" ht="16.5">
      <c r="A77" s="2955">
        <v>76</v>
      </c>
      <c r="B77" s="2955" t="s">
        <v>3016</v>
      </c>
      <c r="C77" s="2955" t="s">
        <v>3014</v>
      </c>
      <c r="D77" s="2955" t="s">
        <v>3093</v>
      </c>
      <c r="E77" s="2955">
        <v>99.55</v>
      </c>
      <c r="F77" s="3169">
        <v>2166706</v>
      </c>
      <c r="G77" s="3252">
        <f t="shared" si="1"/>
        <v>21765.002511300856</v>
      </c>
      <c r="I77" s="3268">
        <v>10</v>
      </c>
      <c r="J77" s="3268">
        <v>2</v>
      </c>
      <c r="K77" s="3269" t="s">
        <v>4361</v>
      </c>
      <c r="L77" s="3270" t="s">
        <v>3863</v>
      </c>
      <c r="M77" s="3271">
        <v>97.15</v>
      </c>
    </row>
    <row r="78" spans="1:13" ht="16.5">
      <c r="A78" s="2955">
        <v>77</v>
      </c>
      <c r="B78" s="2955" t="s">
        <v>3016</v>
      </c>
      <c r="C78" s="2955" t="s">
        <v>3014</v>
      </c>
      <c r="D78" s="2955" t="s">
        <v>3094</v>
      </c>
      <c r="E78" s="2955">
        <v>99.55</v>
      </c>
      <c r="F78" s="3169">
        <v>2124895</v>
      </c>
      <c r="G78" s="3252">
        <f t="shared" si="1"/>
        <v>21345.002511300856</v>
      </c>
      <c r="I78" s="3268">
        <v>10</v>
      </c>
      <c r="J78" s="3268">
        <v>4</v>
      </c>
      <c r="K78" s="3269" t="s">
        <v>4362</v>
      </c>
      <c r="L78" s="3270" t="s">
        <v>3864</v>
      </c>
      <c r="M78" s="3271">
        <v>97.96</v>
      </c>
    </row>
    <row r="79" spans="1:13" ht="16.5">
      <c r="A79" s="2955">
        <v>78</v>
      </c>
      <c r="B79" s="2955" t="s">
        <v>3016</v>
      </c>
      <c r="C79" s="2955" t="s">
        <v>3014</v>
      </c>
      <c r="D79" s="2955" t="s">
        <v>3095</v>
      </c>
      <c r="E79" s="2955">
        <v>99.55</v>
      </c>
      <c r="F79" s="3169">
        <v>2104985</v>
      </c>
      <c r="G79" s="3252">
        <f t="shared" si="1"/>
        <v>21145.002511300856</v>
      </c>
      <c r="I79" s="3268">
        <v>10</v>
      </c>
      <c r="J79" s="3268">
        <v>5</v>
      </c>
      <c r="K79" s="3269" t="s">
        <v>4363</v>
      </c>
      <c r="L79" s="3270" t="s">
        <v>3865</v>
      </c>
      <c r="M79" s="3271">
        <v>96.78</v>
      </c>
    </row>
    <row r="80" spans="1:13" ht="16.5">
      <c r="A80" s="2955">
        <v>79</v>
      </c>
      <c r="B80" s="2955" t="s">
        <v>3016</v>
      </c>
      <c r="C80" s="2955" t="s">
        <v>3014</v>
      </c>
      <c r="D80" s="2955" t="s">
        <v>3096</v>
      </c>
      <c r="E80" s="2955">
        <v>125.31</v>
      </c>
      <c r="F80" s="3169">
        <v>2587025</v>
      </c>
      <c r="G80" s="3252">
        <f t="shared" si="1"/>
        <v>20645.000399010452</v>
      </c>
      <c r="I80" s="3268">
        <v>10</v>
      </c>
      <c r="J80" s="3268">
        <v>3</v>
      </c>
      <c r="K80" s="3269" t="s">
        <v>4364</v>
      </c>
      <c r="L80" s="3270" t="s">
        <v>3866</v>
      </c>
      <c r="M80" s="3271">
        <v>97.15</v>
      </c>
    </row>
    <row r="81" spans="1:13" ht="16.5">
      <c r="A81" s="2955">
        <v>80</v>
      </c>
      <c r="B81" s="2955" t="s">
        <v>3016</v>
      </c>
      <c r="C81" s="2955" t="s">
        <v>3014</v>
      </c>
      <c r="D81" s="2955" t="s">
        <v>3097</v>
      </c>
      <c r="E81" s="2955">
        <v>123.53</v>
      </c>
      <c r="F81" s="3169">
        <v>2587336</v>
      </c>
      <c r="G81" s="3252">
        <f t="shared" si="1"/>
        <v>20945.001214279931</v>
      </c>
      <c r="I81" s="3268">
        <v>10</v>
      </c>
      <c r="J81" s="3268">
        <v>4</v>
      </c>
      <c r="K81" s="3269" t="s">
        <v>4364</v>
      </c>
      <c r="L81" s="3270" t="s">
        <v>3867</v>
      </c>
      <c r="M81" s="3271">
        <v>97.15</v>
      </c>
    </row>
    <row r="82" spans="1:13" ht="16.5">
      <c r="A82" s="2955">
        <v>81</v>
      </c>
      <c r="B82" s="2955" t="s">
        <v>3016</v>
      </c>
      <c r="C82" s="2955" t="s">
        <v>3014</v>
      </c>
      <c r="D82" s="2955" t="s">
        <v>3098</v>
      </c>
      <c r="E82" s="2955">
        <v>99.55</v>
      </c>
      <c r="F82" s="3169">
        <v>2184625</v>
      </c>
      <c r="G82" s="3252">
        <f t="shared" si="1"/>
        <v>21945.002511300856</v>
      </c>
      <c r="I82" s="3268">
        <v>10</v>
      </c>
      <c r="J82" s="3268">
        <v>2</v>
      </c>
      <c r="K82" s="3269" t="s">
        <v>4362</v>
      </c>
      <c r="L82" s="3270" t="s">
        <v>3868</v>
      </c>
      <c r="M82" s="3271">
        <v>140.43</v>
      </c>
    </row>
    <row r="83" spans="1:13" ht="16.5">
      <c r="A83" s="2955">
        <v>82</v>
      </c>
      <c r="B83" s="2955" t="s">
        <v>3016</v>
      </c>
      <c r="C83" s="2955" t="s">
        <v>3014</v>
      </c>
      <c r="D83" s="2955" t="s">
        <v>3099</v>
      </c>
      <c r="E83" s="2955">
        <v>99.55</v>
      </c>
      <c r="F83" s="3169">
        <v>2166706</v>
      </c>
      <c r="G83" s="3252">
        <f t="shared" si="1"/>
        <v>21765.002511300856</v>
      </c>
      <c r="I83" s="3264">
        <v>12</v>
      </c>
      <c r="J83" s="3264">
        <v>5</v>
      </c>
      <c r="K83" s="3265" t="s">
        <v>4365</v>
      </c>
      <c r="L83" s="3266" t="s">
        <v>3869</v>
      </c>
      <c r="M83" s="3267">
        <v>97.24</v>
      </c>
    </row>
    <row r="84" spans="1:13" ht="16.5">
      <c r="A84" s="2955">
        <v>83</v>
      </c>
      <c r="B84" s="2955" t="s">
        <v>3016</v>
      </c>
      <c r="C84" s="2955" t="s">
        <v>3014</v>
      </c>
      <c r="D84" s="2955" t="s">
        <v>3100</v>
      </c>
      <c r="E84" s="2955">
        <v>123.53</v>
      </c>
      <c r="F84" s="3169">
        <v>2614512</v>
      </c>
      <c r="G84" s="3252">
        <f t="shared" si="1"/>
        <v>21164.996357160202</v>
      </c>
      <c r="I84" s="3264">
        <v>12</v>
      </c>
      <c r="J84" s="3264">
        <v>5</v>
      </c>
      <c r="K84" s="3265" t="s">
        <v>4362</v>
      </c>
      <c r="L84" s="3266" t="s">
        <v>3870</v>
      </c>
      <c r="M84" s="3267">
        <v>97.24</v>
      </c>
    </row>
    <row r="85" spans="1:13" ht="16.5">
      <c r="A85" s="2955">
        <v>84</v>
      </c>
      <c r="B85" s="2955" t="s">
        <v>3016</v>
      </c>
      <c r="C85" s="2955" t="s">
        <v>3014</v>
      </c>
      <c r="D85" s="2955" t="s">
        <v>3101</v>
      </c>
      <c r="E85" s="2955">
        <v>99.55</v>
      </c>
      <c r="F85" s="3169">
        <v>2174670</v>
      </c>
      <c r="G85" s="3252">
        <f t="shared" si="1"/>
        <v>21845.002511300856</v>
      </c>
      <c r="I85" s="3264">
        <v>12</v>
      </c>
      <c r="J85" s="3264">
        <v>5</v>
      </c>
      <c r="K85" s="3265" t="s">
        <v>4363</v>
      </c>
      <c r="L85" s="3266" t="s">
        <v>3871</v>
      </c>
      <c r="M85" s="3267">
        <v>96.43</v>
      </c>
    </row>
    <row r="86" spans="1:13" ht="16.5">
      <c r="A86" s="2955">
        <v>85</v>
      </c>
      <c r="B86" s="2955" t="s">
        <v>3016</v>
      </c>
      <c r="C86" s="2955" t="s">
        <v>3014</v>
      </c>
      <c r="D86" s="2955" t="s">
        <v>3102</v>
      </c>
      <c r="E86" s="2955">
        <v>123.53</v>
      </c>
      <c r="F86" s="3169">
        <v>2636748</v>
      </c>
      <c r="G86" s="3252">
        <f t="shared" si="1"/>
        <v>21345.001214279931</v>
      </c>
      <c r="I86" s="3264">
        <v>12</v>
      </c>
      <c r="J86" s="3264">
        <v>3</v>
      </c>
      <c r="K86" s="3265" t="s">
        <v>4364</v>
      </c>
      <c r="L86" s="3266" t="s">
        <v>3872</v>
      </c>
      <c r="M86" s="3267">
        <v>96.43</v>
      </c>
    </row>
    <row r="87" spans="1:13" ht="16.5">
      <c r="A87" s="2955">
        <v>86</v>
      </c>
      <c r="B87" s="2955" t="s">
        <v>3016</v>
      </c>
      <c r="C87" s="2955" t="s">
        <v>3014</v>
      </c>
      <c r="D87" s="2955" t="s">
        <v>3103</v>
      </c>
      <c r="E87" s="2955">
        <v>99.55</v>
      </c>
      <c r="F87" s="3169">
        <v>2164715</v>
      </c>
      <c r="G87" s="3252">
        <f t="shared" si="1"/>
        <v>21745.002511300856</v>
      </c>
      <c r="I87" s="3264">
        <v>12</v>
      </c>
      <c r="J87" s="3264">
        <v>2</v>
      </c>
      <c r="K87" s="3265" t="s">
        <v>4364</v>
      </c>
      <c r="L87" s="3266" t="s">
        <v>3873</v>
      </c>
      <c r="M87" s="3267">
        <v>96.43</v>
      </c>
    </row>
    <row r="88" spans="1:13" ht="16.5">
      <c r="A88" s="2955">
        <v>87</v>
      </c>
      <c r="B88" s="2955" t="s">
        <v>3016</v>
      </c>
      <c r="C88" s="2955" t="s">
        <v>3014</v>
      </c>
      <c r="D88" s="2955" t="s">
        <v>3104</v>
      </c>
      <c r="E88" s="2955">
        <v>99.55</v>
      </c>
      <c r="F88" s="3169">
        <v>2170688</v>
      </c>
      <c r="G88" s="3252">
        <f t="shared" si="1"/>
        <v>21805.002511300856</v>
      </c>
      <c r="I88" s="3264">
        <v>12</v>
      </c>
      <c r="J88" s="3264">
        <v>3</v>
      </c>
      <c r="K88" s="3265" t="s">
        <v>4365</v>
      </c>
      <c r="L88" s="3266" t="s">
        <v>3874</v>
      </c>
      <c r="M88" s="3267">
        <v>96.8</v>
      </c>
    </row>
    <row r="89" spans="1:13" ht="16.5">
      <c r="A89" s="2955">
        <v>88</v>
      </c>
      <c r="B89" s="2955" t="s">
        <v>3016</v>
      </c>
      <c r="C89" s="2955" t="s">
        <v>3014</v>
      </c>
      <c r="D89" s="2955" t="s">
        <v>3105</v>
      </c>
      <c r="E89" s="2955">
        <v>99.55</v>
      </c>
      <c r="F89" s="3169">
        <v>2144805</v>
      </c>
      <c r="G89" s="3252">
        <f t="shared" si="1"/>
        <v>21545.002511300856</v>
      </c>
      <c r="I89" s="3264">
        <v>12</v>
      </c>
      <c r="J89" s="3264">
        <v>1</v>
      </c>
      <c r="K89" s="3265" t="s">
        <v>4365</v>
      </c>
      <c r="L89" s="3266" t="s">
        <v>3875</v>
      </c>
      <c r="M89" s="3267">
        <v>96.43</v>
      </c>
    </row>
    <row r="90" spans="1:13" ht="16.5">
      <c r="A90" s="2955">
        <v>89</v>
      </c>
      <c r="B90" s="2955" t="s">
        <v>3016</v>
      </c>
      <c r="C90" s="2955" t="s">
        <v>3014</v>
      </c>
      <c r="D90" s="2955" t="s">
        <v>3106</v>
      </c>
      <c r="E90" s="2955">
        <v>123.53</v>
      </c>
      <c r="F90" s="3169">
        <v>2525571</v>
      </c>
      <c r="G90" s="3252">
        <f t="shared" si="1"/>
        <v>20445.001214279931</v>
      </c>
      <c r="I90" s="3264">
        <v>12</v>
      </c>
      <c r="J90" s="3264">
        <v>2</v>
      </c>
      <c r="K90" s="3265" t="s">
        <v>4360</v>
      </c>
      <c r="L90" s="3266" t="s">
        <v>3876</v>
      </c>
      <c r="M90" s="3267">
        <v>96.43</v>
      </c>
    </row>
    <row r="91" spans="1:13" ht="16.5">
      <c r="A91" s="2955">
        <v>90</v>
      </c>
      <c r="B91" s="2955" t="s">
        <v>3053</v>
      </c>
      <c r="C91" s="2955" t="s">
        <v>3054</v>
      </c>
      <c r="D91" s="2955" t="s">
        <v>3107</v>
      </c>
      <c r="E91" s="2955">
        <v>99.55</v>
      </c>
      <c r="F91" s="3169">
        <v>2164715</v>
      </c>
      <c r="G91" s="3252">
        <f t="shared" si="1"/>
        <v>21745.002511300856</v>
      </c>
      <c r="I91" s="3264">
        <v>12</v>
      </c>
      <c r="J91" s="3264">
        <v>4</v>
      </c>
      <c r="K91" s="3265" t="s">
        <v>4365</v>
      </c>
      <c r="L91" s="3266" t="s">
        <v>3877</v>
      </c>
      <c r="M91" s="3267">
        <v>96.8</v>
      </c>
    </row>
    <row r="92" spans="1:13" ht="16.5">
      <c r="A92" s="2955">
        <v>91</v>
      </c>
      <c r="B92" s="2955" t="s">
        <v>3053</v>
      </c>
      <c r="C92" s="2955" t="s">
        <v>3054</v>
      </c>
      <c r="D92" s="2955" t="s">
        <v>3108</v>
      </c>
      <c r="E92" s="2955">
        <v>122.15</v>
      </c>
      <c r="F92" s="3169">
        <v>2485142</v>
      </c>
      <c r="G92" s="3252">
        <f t="shared" si="1"/>
        <v>20345.002046663936</v>
      </c>
      <c r="I92" s="3264">
        <v>12</v>
      </c>
      <c r="J92" s="3264">
        <v>1</v>
      </c>
      <c r="K92" s="3265" t="s">
        <v>4362</v>
      </c>
      <c r="L92" s="3266" t="s">
        <v>3878</v>
      </c>
      <c r="M92" s="3267">
        <v>96.43</v>
      </c>
    </row>
    <row r="93" spans="1:13" ht="16.5">
      <c r="A93" s="2955">
        <v>92</v>
      </c>
      <c r="B93" s="2955" t="s">
        <v>3053</v>
      </c>
      <c r="C93" s="2955" t="s">
        <v>3054</v>
      </c>
      <c r="D93" s="2955" t="s">
        <v>3109</v>
      </c>
      <c r="E93" s="2955">
        <v>99.55</v>
      </c>
      <c r="F93" s="3169">
        <v>2174670</v>
      </c>
      <c r="G93" s="3252">
        <f t="shared" si="1"/>
        <v>21845.002511300856</v>
      </c>
      <c r="I93" s="3264">
        <v>10</v>
      </c>
      <c r="J93" s="3264">
        <v>3</v>
      </c>
      <c r="K93" s="3265" t="s">
        <v>4366</v>
      </c>
      <c r="L93" s="3266" t="s">
        <v>3879</v>
      </c>
      <c r="M93" s="3267">
        <v>96.78</v>
      </c>
    </row>
    <row r="94" spans="1:13" ht="16.5">
      <c r="A94" s="2955">
        <v>93</v>
      </c>
      <c r="B94" s="2955" t="s">
        <v>3053</v>
      </c>
      <c r="C94" s="2955" t="s">
        <v>3054</v>
      </c>
      <c r="D94" s="2955" t="s">
        <v>3110</v>
      </c>
      <c r="E94" s="2955">
        <v>97.87</v>
      </c>
      <c r="F94" s="3169">
        <v>2079248</v>
      </c>
      <c r="G94" s="3252">
        <f t="shared" si="1"/>
        <v>21244.998467354653</v>
      </c>
      <c r="I94" s="3264">
        <v>12</v>
      </c>
      <c r="J94" s="3264">
        <v>3</v>
      </c>
      <c r="K94" s="3265" t="s">
        <v>4362</v>
      </c>
      <c r="L94" s="3266" t="s">
        <v>3880</v>
      </c>
      <c r="M94" s="3267">
        <v>96.8</v>
      </c>
    </row>
    <row r="95" spans="1:13" ht="16.5">
      <c r="A95" s="2955">
        <v>94</v>
      </c>
      <c r="B95" s="2955" t="s">
        <v>3053</v>
      </c>
      <c r="C95" s="2955" t="s">
        <v>3054</v>
      </c>
      <c r="D95" s="2955" t="s">
        <v>3111</v>
      </c>
      <c r="E95" s="2955">
        <v>125.31</v>
      </c>
      <c r="F95" s="3169">
        <v>2637149</v>
      </c>
      <c r="G95" s="3252">
        <f t="shared" si="1"/>
        <v>21045.000399010452</v>
      </c>
      <c r="I95" s="3264">
        <v>12</v>
      </c>
      <c r="J95" s="3264">
        <v>5</v>
      </c>
      <c r="K95" s="3265" t="s">
        <v>4364</v>
      </c>
      <c r="L95" s="3266" t="s">
        <v>3881</v>
      </c>
      <c r="M95" s="3267">
        <v>96.43</v>
      </c>
    </row>
    <row r="96" spans="1:13" ht="16.5">
      <c r="A96" s="2955">
        <v>95</v>
      </c>
      <c r="B96" s="2955" t="s">
        <v>3053</v>
      </c>
      <c r="C96" s="2955" t="s">
        <v>3054</v>
      </c>
      <c r="D96" s="2955" t="s">
        <v>3112</v>
      </c>
      <c r="E96" s="2955">
        <v>99.55</v>
      </c>
      <c r="F96" s="3169">
        <v>2134850</v>
      </c>
      <c r="G96" s="3252">
        <f t="shared" si="1"/>
        <v>21445.002511300856</v>
      </c>
      <c r="I96" s="3268">
        <v>10</v>
      </c>
      <c r="J96" s="3268">
        <v>4</v>
      </c>
      <c r="K96" s="3269" t="s">
        <v>4360</v>
      </c>
      <c r="L96" s="3270" t="s">
        <v>3882</v>
      </c>
      <c r="M96" s="3271">
        <v>140.25</v>
      </c>
    </row>
    <row r="97" spans="1:13" ht="16.5">
      <c r="A97" s="2955">
        <v>96</v>
      </c>
      <c r="B97" s="2955" t="s">
        <v>3053</v>
      </c>
      <c r="C97" s="2955" t="s">
        <v>3054</v>
      </c>
      <c r="D97" s="2955" t="s">
        <v>3113</v>
      </c>
      <c r="E97" s="2955">
        <v>125.31</v>
      </c>
      <c r="F97" s="3169">
        <v>2677248</v>
      </c>
      <c r="G97" s="3252">
        <f t="shared" si="1"/>
        <v>21364.998802968636</v>
      </c>
      <c r="I97" s="3276">
        <v>17</v>
      </c>
      <c r="J97" s="3276">
        <v>2</v>
      </c>
      <c r="K97" s="3277" t="s">
        <v>4367</v>
      </c>
      <c r="L97" s="3278" t="s">
        <v>3883</v>
      </c>
      <c r="M97" s="3279">
        <v>165.51</v>
      </c>
    </row>
    <row r="98" spans="1:13" ht="16.5">
      <c r="A98" s="2955">
        <v>97</v>
      </c>
      <c r="B98" s="2955" t="s">
        <v>3053</v>
      </c>
      <c r="C98" s="2955" t="s">
        <v>3054</v>
      </c>
      <c r="D98" s="2955" t="s">
        <v>3114</v>
      </c>
      <c r="E98" s="2955">
        <v>99.55</v>
      </c>
      <c r="F98" s="3169">
        <v>2160733</v>
      </c>
      <c r="G98" s="3252">
        <f t="shared" si="1"/>
        <v>21705.002511300856</v>
      </c>
      <c r="I98" s="3264">
        <v>12</v>
      </c>
      <c r="J98" s="3264">
        <v>2</v>
      </c>
      <c r="K98" s="3265" t="s">
        <v>4362</v>
      </c>
      <c r="L98" s="3266" t="s">
        <v>3884</v>
      </c>
      <c r="M98" s="3267">
        <v>96.8</v>
      </c>
    </row>
    <row r="99" spans="1:13" ht="16.5">
      <c r="A99" s="2955">
        <v>98</v>
      </c>
      <c r="B99" s="2955" t="s">
        <v>3053</v>
      </c>
      <c r="C99" s="2955" t="s">
        <v>3054</v>
      </c>
      <c r="D99" s="2955" t="s">
        <v>3115</v>
      </c>
      <c r="E99" s="2955">
        <v>99.55</v>
      </c>
      <c r="F99" s="3169">
        <v>2124895</v>
      </c>
      <c r="G99" s="3252">
        <f t="shared" si="1"/>
        <v>21345.002511300856</v>
      </c>
      <c r="I99" s="3264">
        <v>12</v>
      </c>
      <c r="J99" s="3264">
        <v>2</v>
      </c>
      <c r="K99" s="3265" t="s">
        <v>4368</v>
      </c>
      <c r="L99" s="3266" t="s">
        <v>3885</v>
      </c>
      <c r="M99" s="3267">
        <v>139.74</v>
      </c>
    </row>
    <row r="100" spans="1:13" ht="16.5">
      <c r="A100" s="2955">
        <v>99</v>
      </c>
      <c r="B100" s="2955" t="s">
        <v>3053</v>
      </c>
      <c r="C100" s="2955" t="s">
        <v>3054</v>
      </c>
      <c r="D100" s="2955" t="s">
        <v>3116</v>
      </c>
      <c r="E100" s="2955">
        <v>99.53</v>
      </c>
      <c r="F100" s="3169">
        <v>2126458</v>
      </c>
      <c r="G100" s="3252">
        <f t="shared" si="1"/>
        <v>21364.995478750126</v>
      </c>
      <c r="I100" s="3264">
        <v>12</v>
      </c>
      <c r="J100" s="3264">
        <v>4</v>
      </c>
      <c r="K100" s="3265" t="s">
        <v>4368</v>
      </c>
      <c r="L100" s="3266" t="s">
        <v>3886</v>
      </c>
      <c r="M100" s="3267">
        <v>97.97</v>
      </c>
    </row>
    <row r="101" spans="1:13" ht="16.5">
      <c r="A101" s="2955">
        <v>100</v>
      </c>
      <c r="B101" s="2955" t="s">
        <v>3053</v>
      </c>
      <c r="C101" s="2955" t="s">
        <v>3054</v>
      </c>
      <c r="D101" s="2955" t="s">
        <v>3117</v>
      </c>
      <c r="E101" s="2955">
        <v>123.51</v>
      </c>
      <c r="F101" s="3169">
        <v>2577036</v>
      </c>
      <c r="G101" s="3252">
        <f t="shared" si="1"/>
        <v>20864.998785523439</v>
      </c>
      <c r="I101" s="3264">
        <v>12</v>
      </c>
      <c r="J101" s="3264">
        <v>4</v>
      </c>
      <c r="K101" s="3265" t="s">
        <v>4366</v>
      </c>
      <c r="L101" s="3266" t="s">
        <v>3887</v>
      </c>
      <c r="M101" s="3267">
        <v>96.8</v>
      </c>
    </row>
    <row r="102" spans="1:13" ht="16.5">
      <c r="A102" s="2955">
        <v>101</v>
      </c>
      <c r="B102" s="2955" t="s">
        <v>3053</v>
      </c>
      <c r="C102" s="2955" t="s">
        <v>3054</v>
      </c>
      <c r="D102" s="2955" t="s">
        <v>3118</v>
      </c>
      <c r="E102" s="2955">
        <v>123.51</v>
      </c>
      <c r="F102" s="3169">
        <v>2599268</v>
      </c>
      <c r="G102" s="3252">
        <f t="shared" si="1"/>
        <v>21045.000404825518</v>
      </c>
      <c r="I102" s="3264">
        <v>12</v>
      </c>
      <c r="J102" s="3264">
        <v>4</v>
      </c>
      <c r="K102" s="3265" t="s">
        <v>4360</v>
      </c>
      <c r="L102" s="3266" t="s">
        <v>3888</v>
      </c>
      <c r="M102" s="3267">
        <v>96.43</v>
      </c>
    </row>
    <row r="103" spans="1:13" ht="16.5">
      <c r="A103" s="2955">
        <v>102</v>
      </c>
      <c r="B103" s="2955" t="s">
        <v>3053</v>
      </c>
      <c r="C103" s="2955" t="s">
        <v>3054</v>
      </c>
      <c r="D103" s="2955" t="s">
        <v>3119</v>
      </c>
      <c r="E103" s="2955">
        <v>123.51</v>
      </c>
      <c r="F103" s="3169">
        <v>2562215</v>
      </c>
      <c r="G103" s="3252">
        <f t="shared" si="1"/>
        <v>20745.000404825518</v>
      </c>
      <c r="I103" s="3272">
        <v>18</v>
      </c>
      <c r="J103" s="3272">
        <v>2</v>
      </c>
      <c r="K103" s="3273" t="s">
        <v>4360</v>
      </c>
      <c r="L103" s="3274" t="s">
        <v>3889</v>
      </c>
      <c r="M103" s="3275">
        <v>142.19999999999999</v>
      </c>
    </row>
    <row r="104" spans="1:13" ht="16.5">
      <c r="A104" s="2955">
        <v>103</v>
      </c>
      <c r="B104" s="2955" t="s">
        <v>3053</v>
      </c>
      <c r="C104" s="2955" t="s">
        <v>3054</v>
      </c>
      <c r="D104" s="2955" t="s">
        <v>3120</v>
      </c>
      <c r="E104" s="2955">
        <v>123.51</v>
      </c>
      <c r="F104" s="3169">
        <v>2569626</v>
      </c>
      <c r="G104" s="3252">
        <f t="shared" si="1"/>
        <v>20805.003643429682</v>
      </c>
      <c r="I104" s="3276">
        <v>17</v>
      </c>
      <c r="J104" s="3276">
        <v>1</v>
      </c>
      <c r="K104" s="3277" t="s">
        <v>4365</v>
      </c>
      <c r="L104" s="3278" t="s">
        <v>3890</v>
      </c>
      <c r="M104" s="3279">
        <v>127.22</v>
      </c>
    </row>
    <row r="105" spans="1:13" ht="16.5">
      <c r="A105" s="2955">
        <v>104</v>
      </c>
      <c r="B105" s="2955" t="s">
        <v>3053</v>
      </c>
      <c r="C105" s="2955" t="s">
        <v>3054</v>
      </c>
      <c r="D105" s="2955" t="s">
        <v>3121</v>
      </c>
      <c r="E105" s="2955">
        <v>123.51</v>
      </c>
      <c r="F105" s="3169">
        <v>2547394</v>
      </c>
      <c r="G105" s="3252">
        <f t="shared" si="1"/>
        <v>20625.0020241276</v>
      </c>
      <c r="I105" s="3264">
        <v>12</v>
      </c>
      <c r="J105" s="3264">
        <v>3</v>
      </c>
      <c r="K105" s="3265" t="s">
        <v>4367</v>
      </c>
      <c r="L105" s="3266" t="s">
        <v>3891</v>
      </c>
      <c r="M105" s="3267">
        <v>139.91</v>
      </c>
    </row>
    <row r="106" spans="1:13" ht="16.5">
      <c r="A106" s="2955">
        <v>105</v>
      </c>
      <c r="B106" s="2955" t="s">
        <v>3053</v>
      </c>
      <c r="C106" s="2955" t="s">
        <v>3054</v>
      </c>
      <c r="D106" s="2955" t="s">
        <v>3122</v>
      </c>
      <c r="E106" s="2955">
        <v>123.51</v>
      </c>
      <c r="F106" s="3169">
        <v>2577036</v>
      </c>
      <c r="G106" s="3252">
        <f t="shared" si="1"/>
        <v>20864.998785523439</v>
      </c>
      <c r="I106" s="3264">
        <v>12</v>
      </c>
      <c r="J106" s="3264">
        <v>1</v>
      </c>
      <c r="K106" s="3265" t="s">
        <v>4366</v>
      </c>
      <c r="L106" s="3266" t="s">
        <v>3892</v>
      </c>
      <c r="M106" s="3267">
        <v>96.43</v>
      </c>
    </row>
    <row r="107" spans="1:13" ht="16.5">
      <c r="A107" s="2955">
        <v>106</v>
      </c>
      <c r="B107" s="2955" t="s">
        <v>3053</v>
      </c>
      <c r="C107" s="2955" t="s">
        <v>3054</v>
      </c>
      <c r="D107" s="2955" t="s">
        <v>3123</v>
      </c>
      <c r="E107" s="2955">
        <v>99.53</v>
      </c>
      <c r="F107" s="3169">
        <v>2096599</v>
      </c>
      <c r="G107" s="3252">
        <f t="shared" si="1"/>
        <v>21064.995478750126</v>
      </c>
      <c r="I107" s="3264">
        <v>12</v>
      </c>
      <c r="J107" s="3264">
        <v>3</v>
      </c>
      <c r="K107" s="3265" t="s">
        <v>4360</v>
      </c>
      <c r="L107" s="3266" t="s">
        <v>3893</v>
      </c>
      <c r="M107" s="3267">
        <v>96.43</v>
      </c>
    </row>
    <row r="108" spans="1:13" ht="16.5">
      <c r="A108" s="2955">
        <v>107</v>
      </c>
      <c r="B108" s="2955" t="s">
        <v>3053</v>
      </c>
      <c r="C108" s="2955" t="s">
        <v>3054</v>
      </c>
      <c r="D108" s="2955" t="s">
        <v>3124</v>
      </c>
      <c r="E108" s="2955">
        <v>99.53</v>
      </c>
      <c r="F108" s="3169">
        <v>2114515</v>
      </c>
      <c r="G108" s="3252">
        <f t="shared" si="1"/>
        <v>21245.001507083292</v>
      </c>
      <c r="I108" s="3272">
        <v>18</v>
      </c>
      <c r="J108" s="3272">
        <v>2</v>
      </c>
      <c r="K108" s="3273" t="s">
        <v>4363</v>
      </c>
      <c r="L108" s="3274" t="s">
        <v>3894</v>
      </c>
      <c r="M108" s="3275">
        <v>142.19999999999999</v>
      </c>
    </row>
    <row r="109" spans="1:13" ht="16.5">
      <c r="A109" s="2955">
        <v>108</v>
      </c>
      <c r="B109" s="2955" t="s">
        <v>3053</v>
      </c>
      <c r="C109" s="2955" t="s">
        <v>3054</v>
      </c>
      <c r="D109" s="2955" t="s">
        <v>3125</v>
      </c>
      <c r="E109" s="2955">
        <v>125.29</v>
      </c>
      <c r="F109" s="3169">
        <v>2576589</v>
      </c>
      <c r="G109" s="3252">
        <f t="shared" si="1"/>
        <v>20565.001197222442</v>
      </c>
      <c r="I109" s="3272">
        <v>18</v>
      </c>
      <c r="J109" s="3272">
        <v>1</v>
      </c>
      <c r="K109" s="3273" t="s">
        <v>4361</v>
      </c>
      <c r="L109" s="3274" t="s">
        <v>3895</v>
      </c>
      <c r="M109" s="3275">
        <v>132.19</v>
      </c>
    </row>
    <row r="110" spans="1:13" ht="16.5">
      <c r="A110" s="2955">
        <v>109</v>
      </c>
      <c r="B110" s="2955" t="s">
        <v>3053</v>
      </c>
      <c r="C110" s="2955" t="s">
        <v>3054</v>
      </c>
      <c r="D110" s="2955" t="s">
        <v>3126</v>
      </c>
      <c r="E110" s="2955">
        <v>122.13</v>
      </c>
      <c r="F110" s="3169">
        <v>2411457</v>
      </c>
      <c r="G110" s="3252">
        <f t="shared" si="1"/>
        <v>19745.00122819946</v>
      </c>
      <c r="I110" s="3272">
        <v>18</v>
      </c>
      <c r="J110" s="3272">
        <v>3</v>
      </c>
      <c r="K110" s="3273" t="s">
        <v>4368</v>
      </c>
      <c r="L110" s="3274" t="s">
        <v>4369</v>
      </c>
      <c r="M110" s="3275">
        <v>260.83</v>
      </c>
    </row>
    <row r="111" spans="1:13" ht="16.5">
      <c r="A111" s="2955">
        <v>110</v>
      </c>
      <c r="B111" s="2955" t="s">
        <v>3053</v>
      </c>
      <c r="C111" s="2955" t="s">
        <v>3054</v>
      </c>
      <c r="D111" s="2955" t="s">
        <v>3127</v>
      </c>
      <c r="E111" s="2955">
        <v>99.53</v>
      </c>
      <c r="F111" s="3169">
        <v>2134421</v>
      </c>
      <c r="G111" s="3252">
        <f t="shared" si="1"/>
        <v>21445.001507083292</v>
      </c>
      <c r="I111" s="3272">
        <v>18</v>
      </c>
      <c r="J111" s="3272">
        <v>3</v>
      </c>
      <c r="K111" s="3273" t="s">
        <v>4367</v>
      </c>
      <c r="L111" s="3274" t="s">
        <v>3896</v>
      </c>
      <c r="M111" s="3275">
        <v>197</v>
      </c>
    </row>
    <row r="112" spans="1:13" ht="16.5">
      <c r="A112" s="2955">
        <v>111</v>
      </c>
      <c r="B112" s="2955" t="s">
        <v>3053</v>
      </c>
      <c r="C112" s="2955" t="s">
        <v>3054</v>
      </c>
      <c r="D112" s="2955" t="s">
        <v>3128</v>
      </c>
      <c r="E112" s="2955">
        <v>99.53</v>
      </c>
      <c r="F112" s="3169">
        <v>2054797</v>
      </c>
      <c r="G112" s="3252">
        <f t="shared" si="1"/>
        <v>20645.001507083292</v>
      </c>
      <c r="I112" s="3283" t="s">
        <v>4370</v>
      </c>
      <c r="J112" s="3283" t="s">
        <v>4371</v>
      </c>
      <c r="K112" s="3283" t="s">
        <v>4362</v>
      </c>
      <c r="L112" s="3270" t="s">
        <v>3897</v>
      </c>
      <c r="M112" s="3271">
        <v>96.78</v>
      </c>
    </row>
    <row r="113" spans="1:13" ht="16.5">
      <c r="A113" s="2955">
        <v>112</v>
      </c>
      <c r="B113" s="2955" t="s">
        <v>3053</v>
      </c>
      <c r="C113" s="2955" t="s">
        <v>3054</v>
      </c>
      <c r="D113" s="2955" t="s">
        <v>3129</v>
      </c>
      <c r="E113" s="2955">
        <v>99.53</v>
      </c>
      <c r="F113" s="3169">
        <v>2126458</v>
      </c>
      <c r="G113" s="3252">
        <f t="shared" si="1"/>
        <v>21364.995478750126</v>
      </c>
      <c r="I113" s="3283" t="s">
        <v>4370</v>
      </c>
      <c r="J113" s="3283" t="s">
        <v>4372</v>
      </c>
      <c r="K113" s="3283" t="s">
        <v>4365</v>
      </c>
      <c r="L113" s="3270" t="s">
        <v>3898</v>
      </c>
      <c r="M113" s="3271">
        <v>96.78</v>
      </c>
    </row>
    <row r="114" spans="1:13" ht="16.5">
      <c r="A114" s="2955">
        <v>113</v>
      </c>
      <c r="B114" s="2955" t="s">
        <v>3053</v>
      </c>
      <c r="C114" s="2955" t="s">
        <v>3054</v>
      </c>
      <c r="D114" s="2955" t="s">
        <v>3130</v>
      </c>
      <c r="E114" s="2955">
        <v>99.53</v>
      </c>
      <c r="F114" s="3169">
        <v>2080675</v>
      </c>
      <c r="G114" s="3252">
        <f t="shared" si="1"/>
        <v>20905.003516527679</v>
      </c>
      <c r="I114" s="3284" t="s">
        <v>4373</v>
      </c>
      <c r="J114" s="3284" t="s">
        <v>4371</v>
      </c>
      <c r="K114" s="3284" t="s">
        <v>4360</v>
      </c>
      <c r="L114" s="3274" t="s">
        <v>3899</v>
      </c>
      <c r="M114" s="3275">
        <v>132.19</v>
      </c>
    </row>
    <row r="115" spans="1:13" ht="16.5">
      <c r="A115" s="2955">
        <v>114</v>
      </c>
      <c r="B115" s="2955" t="s">
        <v>3053</v>
      </c>
      <c r="C115" s="2955" t="s">
        <v>3054</v>
      </c>
      <c r="D115" s="2955" t="s">
        <v>3131</v>
      </c>
      <c r="E115" s="2955">
        <v>123.51</v>
      </c>
      <c r="F115" s="3169">
        <v>2525162</v>
      </c>
      <c r="G115" s="3252">
        <f t="shared" si="1"/>
        <v>20445.000404825518</v>
      </c>
      <c r="I115" s="3283" t="s">
        <v>4370</v>
      </c>
      <c r="J115" s="3283" t="s">
        <v>4374</v>
      </c>
      <c r="K115" s="3283" t="s">
        <v>4366</v>
      </c>
      <c r="L115" s="3270" t="s">
        <v>3900</v>
      </c>
      <c r="M115" s="3271">
        <v>96.78</v>
      </c>
    </row>
    <row r="116" spans="1:13" ht="16.5">
      <c r="A116" s="2955">
        <v>115</v>
      </c>
      <c r="B116" s="2955" t="s">
        <v>3053</v>
      </c>
      <c r="C116" s="2955" t="s">
        <v>3054</v>
      </c>
      <c r="D116" s="2955" t="s">
        <v>3132</v>
      </c>
      <c r="E116" s="2955">
        <v>125.29</v>
      </c>
      <c r="F116" s="3169">
        <v>2599141</v>
      </c>
      <c r="G116" s="3252">
        <f t="shared" si="1"/>
        <v>20744.99960092585</v>
      </c>
      <c r="I116" s="3283" t="s">
        <v>4370</v>
      </c>
      <c r="J116" s="3283" t="s">
        <v>4374</v>
      </c>
      <c r="K116" s="3283" t="s">
        <v>4365</v>
      </c>
      <c r="L116" s="3270" t="s">
        <v>3901</v>
      </c>
      <c r="M116" s="3271">
        <v>96.78</v>
      </c>
    </row>
    <row r="117" spans="1:13" ht="16.5">
      <c r="A117" s="2955">
        <v>116</v>
      </c>
      <c r="B117" s="2955" t="s">
        <v>3053</v>
      </c>
      <c r="C117" s="2955" t="s">
        <v>3054</v>
      </c>
      <c r="D117" s="2955" t="s">
        <v>3133</v>
      </c>
      <c r="E117" s="2955">
        <v>123.51</v>
      </c>
      <c r="F117" s="3169">
        <v>2549864</v>
      </c>
      <c r="G117" s="3252">
        <f t="shared" si="1"/>
        <v>20645.000404825518</v>
      </c>
      <c r="I117" s="3285" t="s">
        <v>4375</v>
      </c>
      <c r="J117" s="3285" t="s">
        <v>4376</v>
      </c>
      <c r="K117" s="3285" t="s">
        <v>4361</v>
      </c>
      <c r="L117" s="3266" t="s">
        <v>3902</v>
      </c>
      <c r="M117" s="3267">
        <v>96.43</v>
      </c>
    </row>
    <row r="118" spans="1:13" ht="16.5">
      <c r="A118" s="2955">
        <v>117</v>
      </c>
      <c r="B118" s="2955" t="s">
        <v>3053</v>
      </c>
      <c r="C118" s="2955" t="s">
        <v>3054</v>
      </c>
      <c r="D118" s="2955" t="s">
        <v>3134</v>
      </c>
      <c r="E118" s="2955">
        <v>99.53</v>
      </c>
      <c r="F118" s="3169">
        <v>2134421</v>
      </c>
      <c r="G118" s="3252">
        <f t="shared" si="1"/>
        <v>21445.001507083292</v>
      </c>
      <c r="I118" s="3283" t="s">
        <v>4370</v>
      </c>
      <c r="J118" s="3283" t="s">
        <v>4372</v>
      </c>
      <c r="K118" s="3283" t="s">
        <v>4377</v>
      </c>
      <c r="L118" s="3270" t="s">
        <v>3903</v>
      </c>
      <c r="M118" s="3271">
        <v>96.78</v>
      </c>
    </row>
    <row r="119" spans="1:13" ht="16.5">
      <c r="A119" s="2955">
        <v>118</v>
      </c>
      <c r="B119" s="2955" t="s">
        <v>3053</v>
      </c>
      <c r="C119" s="2955" t="s">
        <v>3054</v>
      </c>
      <c r="D119" s="2955" t="s">
        <v>3135</v>
      </c>
      <c r="E119" s="2955">
        <v>99.53</v>
      </c>
      <c r="F119" s="3169">
        <v>2134421</v>
      </c>
      <c r="G119" s="3252">
        <f t="shared" si="1"/>
        <v>21445.001507083292</v>
      </c>
      <c r="I119" s="3283" t="s">
        <v>4370</v>
      </c>
      <c r="J119" s="3283" t="s">
        <v>4378</v>
      </c>
      <c r="K119" s="3283" t="s">
        <v>4362</v>
      </c>
      <c r="L119" s="3270" t="s">
        <v>3904</v>
      </c>
      <c r="M119" s="3271">
        <v>97.6</v>
      </c>
    </row>
    <row r="120" spans="1:13" ht="16.5">
      <c r="A120" s="2955">
        <v>119</v>
      </c>
      <c r="B120" s="2955" t="s">
        <v>3053</v>
      </c>
      <c r="C120" s="2955" t="s">
        <v>3054</v>
      </c>
      <c r="D120" s="2955" t="s">
        <v>3136</v>
      </c>
      <c r="E120" s="2955">
        <v>99.53</v>
      </c>
      <c r="F120" s="3169">
        <v>2134421</v>
      </c>
      <c r="G120" s="3252">
        <f t="shared" si="1"/>
        <v>21445.001507083292</v>
      </c>
      <c r="I120" s="3285" t="s">
        <v>4375</v>
      </c>
      <c r="J120" s="3285" t="s">
        <v>4372</v>
      </c>
      <c r="K120" s="3285" t="s">
        <v>4363</v>
      </c>
      <c r="L120" s="3266" t="s">
        <v>3905</v>
      </c>
      <c r="M120" s="3267">
        <v>96.43</v>
      </c>
    </row>
    <row r="121" spans="1:13" ht="16.5">
      <c r="A121" s="2955">
        <v>120</v>
      </c>
      <c r="B121" s="2955" t="s">
        <v>3053</v>
      </c>
      <c r="C121" s="2955" t="s">
        <v>3054</v>
      </c>
      <c r="D121" s="2955" t="s">
        <v>3137</v>
      </c>
      <c r="E121" s="2955">
        <v>99.53</v>
      </c>
      <c r="F121" s="3169">
        <v>2090628</v>
      </c>
      <c r="G121" s="3252">
        <f t="shared" si="1"/>
        <v>21005.003516527679</v>
      </c>
      <c r="I121" s="3285" t="s">
        <v>4375</v>
      </c>
      <c r="J121" s="3285" t="s">
        <v>4371</v>
      </c>
      <c r="K121" s="3285" t="s">
        <v>4368</v>
      </c>
      <c r="L121" s="3266" t="s">
        <v>3906</v>
      </c>
      <c r="M121" s="3267">
        <v>96.43</v>
      </c>
    </row>
    <row r="122" spans="1:13" ht="16.5">
      <c r="A122" s="2955">
        <v>121</v>
      </c>
      <c r="B122" s="2955" t="s">
        <v>3053</v>
      </c>
      <c r="C122" s="2955" t="s">
        <v>3054</v>
      </c>
      <c r="D122" s="2955" t="s">
        <v>3138</v>
      </c>
      <c r="E122" s="2955">
        <v>99.53</v>
      </c>
      <c r="F122" s="3169">
        <v>2086646</v>
      </c>
      <c r="G122" s="3252">
        <f t="shared" si="1"/>
        <v>20964.995478750126</v>
      </c>
      <c r="I122" s="3284" t="s">
        <v>4373</v>
      </c>
      <c r="J122" s="3284" t="s">
        <v>4374</v>
      </c>
      <c r="K122" s="3284" t="s">
        <v>4364</v>
      </c>
      <c r="L122" s="3274" t="s">
        <v>3907</v>
      </c>
      <c r="M122" s="3275">
        <v>142.19999999999999</v>
      </c>
    </row>
    <row r="123" spans="1:13" ht="16.5">
      <c r="A123" s="2955">
        <v>122</v>
      </c>
      <c r="B123" s="2955" t="s">
        <v>3053</v>
      </c>
      <c r="C123" s="2955" t="s">
        <v>3054</v>
      </c>
      <c r="D123" s="2955" t="s">
        <v>3139</v>
      </c>
      <c r="E123" s="2955">
        <v>99.53</v>
      </c>
      <c r="F123" s="3169">
        <v>2084656</v>
      </c>
      <c r="G123" s="3252">
        <f t="shared" si="1"/>
        <v>20945.001507083292</v>
      </c>
      <c r="I123" s="3286" t="s">
        <v>4379</v>
      </c>
      <c r="J123" s="3286" t="s">
        <v>4374</v>
      </c>
      <c r="K123" s="3286" t="s">
        <v>4362</v>
      </c>
      <c r="L123" s="3278" t="s">
        <v>3908</v>
      </c>
      <c r="M123" s="3279">
        <v>133.13</v>
      </c>
    </row>
    <row r="124" spans="1:13" ht="16.5">
      <c r="A124" s="2955">
        <v>123</v>
      </c>
      <c r="B124" s="2955" t="s">
        <v>3053</v>
      </c>
      <c r="C124" s="2955" t="s">
        <v>3054</v>
      </c>
      <c r="D124" s="2955" t="s">
        <v>3140</v>
      </c>
      <c r="E124" s="2955">
        <v>99.53</v>
      </c>
      <c r="F124" s="3169">
        <v>2064750</v>
      </c>
      <c r="G124" s="3252">
        <f t="shared" si="1"/>
        <v>20745.001507083292</v>
      </c>
      <c r="I124" s="3283" t="s">
        <v>4370</v>
      </c>
      <c r="J124" s="3283" t="s">
        <v>4371</v>
      </c>
      <c r="K124" s="3283" t="s">
        <v>4377</v>
      </c>
      <c r="L124" s="3270" t="s">
        <v>3909</v>
      </c>
      <c r="M124" s="3271">
        <v>96.78</v>
      </c>
    </row>
    <row r="125" spans="1:13" ht="16.5">
      <c r="A125" s="2955">
        <v>124</v>
      </c>
      <c r="B125" s="2955" t="s">
        <v>3053</v>
      </c>
      <c r="C125" s="2955" t="s">
        <v>3054</v>
      </c>
      <c r="D125" s="2955" t="s">
        <v>3141</v>
      </c>
      <c r="E125" s="2955">
        <v>99.53</v>
      </c>
      <c r="F125" s="3169">
        <v>2144374</v>
      </c>
      <c r="G125" s="3252">
        <f t="shared" si="1"/>
        <v>21545.001507083292</v>
      </c>
      <c r="I125" s="3283" t="s">
        <v>4370</v>
      </c>
      <c r="J125" s="3283" t="s">
        <v>4374</v>
      </c>
      <c r="K125" s="3283" t="s">
        <v>4377</v>
      </c>
      <c r="L125" s="3270" t="s">
        <v>3910</v>
      </c>
      <c r="M125" s="3271">
        <v>96.78</v>
      </c>
    </row>
    <row r="126" spans="1:13" ht="16.5">
      <c r="A126" s="2955">
        <v>125</v>
      </c>
      <c r="B126" s="2955" t="s">
        <v>3053</v>
      </c>
      <c r="C126" s="2955" t="s">
        <v>3054</v>
      </c>
      <c r="D126" s="2955" t="s">
        <v>3142</v>
      </c>
      <c r="E126" s="2955">
        <v>125.29</v>
      </c>
      <c r="F126" s="3169">
        <v>2599141</v>
      </c>
      <c r="G126" s="3252">
        <f t="shared" si="1"/>
        <v>20744.99960092585</v>
      </c>
      <c r="I126" s="3284" t="s">
        <v>4373</v>
      </c>
      <c r="J126" s="3284" t="s">
        <v>4372</v>
      </c>
      <c r="K126" s="3284" t="s">
        <v>4363</v>
      </c>
      <c r="L126" s="3274" t="s">
        <v>3911</v>
      </c>
      <c r="M126" s="3275">
        <v>141.91</v>
      </c>
    </row>
    <row r="127" spans="1:13" ht="16.5">
      <c r="A127" s="2955">
        <v>126</v>
      </c>
      <c r="B127" s="2955" t="s">
        <v>3053</v>
      </c>
      <c r="C127" s="2955" t="s">
        <v>3054</v>
      </c>
      <c r="D127" s="2955" t="s">
        <v>3143</v>
      </c>
      <c r="E127" s="2955">
        <v>125.29</v>
      </c>
      <c r="F127" s="3169">
        <v>2576589</v>
      </c>
      <c r="G127" s="3252">
        <f t="shared" si="1"/>
        <v>20565.001197222442</v>
      </c>
      <c r="I127" s="3284" t="s">
        <v>4373</v>
      </c>
      <c r="J127" s="3284" t="s">
        <v>4374</v>
      </c>
      <c r="K127" s="3284" t="s">
        <v>4367</v>
      </c>
      <c r="L127" s="3274" t="s">
        <v>3912</v>
      </c>
      <c r="M127" s="3275">
        <v>189.43</v>
      </c>
    </row>
    <row r="128" spans="1:13" ht="16.5">
      <c r="A128" s="2955">
        <v>127</v>
      </c>
      <c r="B128" s="2955" t="s">
        <v>3053</v>
      </c>
      <c r="C128" s="2955" t="s">
        <v>3054</v>
      </c>
      <c r="D128" s="2955" t="s">
        <v>3144</v>
      </c>
      <c r="E128" s="2955">
        <v>99.53</v>
      </c>
      <c r="F128" s="3169">
        <v>2084656</v>
      </c>
      <c r="G128" s="3252">
        <f t="shared" si="1"/>
        <v>20945.001507083292</v>
      </c>
      <c r="I128" s="3285" t="s">
        <v>4375</v>
      </c>
      <c r="J128" s="3285" t="s">
        <v>4376</v>
      </c>
      <c r="K128" s="3285" t="s">
        <v>4364</v>
      </c>
      <c r="L128" s="3266" t="s">
        <v>3913</v>
      </c>
      <c r="M128" s="3267">
        <v>96.43</v>
      </c>
    </row>
    <row r="129" spans="1:13" ht="16.5">
      <c r="A129" s="2955">
        <v>128</v>
      </c>
      <c r="B129" s="2955" t="s">
        <v>3053</v>
      </c>
      <c r="C129" s="2955" t="s">
        <v>3054</v>
      </c>
      <c r="D129" s="2955" t="s">
        <v>3145</v>
      </c>
      <c r="E129" s="2955">
        <v>125.29</v>
      </c>
      <c r="F129" s="3169">
        <v>2576589</v>
      </c>
      <c r="G129" s="3252">
        <f t="shared" si="1"/>
        <v>20565.001197222442</v>
      </c>
      <c r="I129" s="3285" t="s">
        <v>4375</v>
      </c>
      <c r="J129" s="3285" t="s">
        <v>4378</v>
      </c>
      <c r="K129" s="3285" t="s">
        <v>4367</v>
      </c>
      <c r="L129" s="3266" t="s">
        <v>3914</v>
      </c>
      <c r="M129" s="3267">
        <v>96.43</v>
      </c>
    </row>
    <row r="130" spans="1:13" ht="16.5">
      <c r="A130" s="2955">
        <v>129</v>
      </c>
      <c r="B130" s="2955" t="s">
        <v>3053</v>
      </c>
      <c r="C130" s="2955" t="s">
        <v>3054</v>
      </c>
      <c r="D130" s="2955" t="s">
        <v>3146</v>
      </c>
      <c r="E130" s="2955">
        <v>99.53</v>
      </c>
      <c r="F130" s="3169">
        <v>2094609</v>
      </c>
      <c r="G130" s="3252">
        <f t="shared" si="1"/>
        <v>21045.001507083292</v>
      </c>
      <c r="I130" s="3283" t="s">
        <v>4370</v>
      </c>
      <c r="J130" s="3283" t="s">
        <v>4372</v>
      </c>
      <c r="K130" s="3283" t="s">
        <v>4363</v>
      </c>
      <c r="L130" s="3270" t="s">
        <v>3915</v>
      </c>
      <c r="M130" s="3271">
        <v>97.15</v>
      </c>
    </row>
    <row r="131" spans="1:13" ht="16.5">
      <c r="A131" s="2955">
        <v>130</v>
      </c>
      <c r="B131" s="2955" t="s">
        <v>3053</v>
      </c>
      <c r="C131" s="2955" t="s">
        <v>3054</v>
      </c>
      <c r="D131" s="2955" t="s">
        <v>3147</v>
      </c>
      <c r="E131" s="2955">
        <v>99.53</v>
      </c>
      <c r="F131" s="3169">
        <v>2110534</v>
      </c>
      <c r="G131" s="3252">
        <f t="shared" ref="G131:G194" si="2">F131/E131</f>
        <v>21205.003516527679</v>
      </c>
      <c r="I131" s="3283" t="s">
        <v>4370</v>
      </c>
      <c r="J131" s="3283" t="s">
        <v>4371</v>
      </c>
      <c r="K131" s="3283" t="s">
        <v>4363</v>
      </c>
      <c r="L131" s="3270" t="s">
        <v>4380</v>
      </c>
      <c r="M131" s="3271">
        <v>97.6</v>
      </c>
    </row>
    <row r="132" spans="1:13" ht="16.5">
      <c r="A132" s="2955">
        <v>131</v>
      </c>
      <c r="B132" s="2955" t="s">
        <v>3053</v>
      </c>
      <c r="C132" s="2955" t="s">
        <v>3054</v>
      </c>
      <c r="D132" s="2955" t="s">
        <v>3148</v>
      </c>
      <c r="E132" s="2955">
        <v>99.53</v>
      </c>
      <c r="F132" s="3169">
        <v>2124468</v>
      </c>
      <c r="G132" s="3252">
        <f t="shared" si="2"/>
        <v>21345.001507083292</v>
      </c>
      <c r="I132" s="3285" t="s">
        <v>4375</v>
      </c>
      <c r="J132" s="3285" t="s">
        <v>4372</v>
      </c>
      <c r="K132" s="3285" t="s">
        <v>4368</v>
      </c>
      <c r="L132" s="3266" t="s">
        <v>4381</v>
      </c>
      <c r="M132" s="3267">
        <v>139.74</v>
      </c>
    </row>
    <row r="133" spans="1:13" ht="16.5">
      <c r="A133" s="2955">
        <v>132</v>
      </c>
      <c r="B133" s="2955" t="s">
        <v>3053</v>
      </c>
      <c r="C133" s="2955" t="s">
        <v>3054</v>
      </c>
      <c r="D133" s="2955" t="s">
        <v>3149</v>
      </c>
      <c r="E133" s="2955">
        <v>99.53</v>
      </c>
      <c r="F133" s="3169">
        <v>2134421</v>
      </c>
      <c r="G133" s="3252">
        <f t="shared" si="2"/>
        <v>21445.001507083292</v>
      </c>
      <c r="I133" s="3283" t="s">
        <v>4370</v>
      </c>
      <c r="J133" s="3283" t="s">
        <v>4376</v>
      </c>
      <c r="K133" s="3283" t="s">
        <v>4366</v>
      </c>
      <c r="L133" s="3270" t="s">
        <v>3916</v>
      </c>
      <c r="M133" s="3271">
        <v>96.78</v>
      </c>
    </row>
    <row r="134" spans="1:13" ht="16.5">
      <c r="A134" s="2955">
        <v>133</v>
      </c>
      <c r="B134" s="2955" t="s">
        <v>3053</v>
      </c>
      <c r="C134" s="2955" t="s">
        <v>3054</v>
      </c>
      <c r="D134" s="2955" t="s">
        <v>3150</v>
      </c>
      <c r="E134" s="2955">
        <v>99.53</v>
      </c>
      <c r="F134" s="3169">
        <v>2064750</v>
      </c>
      <c r="G134" s="3252">
        <f t="shared" si="2"/>
        <v>20745.001507083292</v>
      </c>
      <c r="I134" s="3285" t="s">
        <v>4375</v>
      </c>
      <c r="J134" s="3285" t="s">
        <v>4372</v>
      </c>
      <c r="K134" s="3285" t="s">
        <v>4366</v>
      </c>
      <c r="L134" s="3266" t="s">
        <v>3917</v>
      </c>
      <c r="M134" s="3267">
        <v>96.8</v>
      </c>
    </row>
    <row r="135" spans="1:13" ht="16.5">
      <c r="A135" s="2955">
        <v>134</v>
      </c>
      <c r="B135" s="2955" t="s">
        <v>3053</v>
      </c>
      <c r="C135" s="2955" t="s">
        <v>3054</v>
      </c>
      <c r="D135" s="2955" t="s">
        <v>3151</v>
      </c>
      <c r="E135" s="2955">
        <v>99.53</v>
      </c>
      <c r="F135" s="3169">
        <v>2084656</v>
      </c>
      <c r="G135" s="3252">
        <f t="shared" si="2"/>
        <v>20945.001507083292</v>
      </c>
      <c r="I135" s="3283" t="s">
        <v>4370</v>
      </c>
      <c r="J135" s="3283" t="s">
        <v>4374</v>
      </c>
      <c r="K135" s="3283" t="s">
        <v>4360</v>
      </c>
      <c r="L135" s="3270" t="s">
        <v>3918</v>
      </c>
      <c r="M135" s="3271">
        <v>98.34</v>
      </c>
    </row>
    <row r="136" spans="1:13" ht="16.5">
      <c r="A136" s="2955">
        <v>135</v>
      </c>
      <c r="B136" s="2955" t="s">
        <v>3053</v>
      </c>
      <c r="C136" s="2955" t="s">
        <v>3054</v>
      </c>
      <c r="D136" s="2955" t="s">
        <v>3152</v>
      </c>
      <c r="E136" s="2955">
        <v>123.51</v>
      </c>
      <c r="F136" s="3169">
        <v>2537513</v>
      </c>
      <c r="G136" s="3252">
        <f t="shared" si="2"/>
        <v>20545.000404825518</v>
      </c>
      <c r="I136" s="3283" t="s">
        <v>4370</v>
      </c>
      <c r="J136" s="3283" t="s">
        <v>4378</v>
      </c>
      <c r="K136" s="3283" t="s">
        <v>4366</v>
      </c>
      <c r="L136" s="3270" t="s">
        <v>4382</v>
      </c>
      <c r="M136" s="3271">
        <v>97.6</v>
      </c>
    </row>
    <row r="137" spans="1:13" ht="16.5">
      <c r="A137" s="2955">
        <v>136</v>
      </c>
      <c r="B137" s="2955" t="s">
        <v>3053</v>
      </c>
      <c r="C137" s="2955" t="s">
        <v>3054</v>
      </c>
      <c r="D137" s="2955" t="s">
        <v>3153</v>
      </c>
      <c r="E137" s="2955">
        <v>99.53</v>
      </c>
      <c r="F137" s="3169">
        <v>2124468</v>
      </c>
      <c r="G137" s="3252">
        <f t="shared" si="2"/>
        <v>21345.001507083292</v>
      </c>
      <c r="I137" s="3283" t="s">
        <v>4370</v>
      </c>
      <c r="J137" s="3283" t="s">
        <v>4378</v>
      </c>
      <c r="K137" s="3283" t="s">
        <v>4361</v>
      </c>
      <c r="L137" s="3270" t="s">
        <v>4383</v>
      </c>
      <c r="M137" s="3271">
        <v>96.78</v>
      </c>
    </row>
    <row r="138" spans="1:13" ht="16.5">
      <c r="A138" s="2955">
        <v>137</v>
      </c>
      <c r="B138" s="2955" t="s">
        <v>3053</v>
      </c>
      <c r="C138" s="2955" t="s">
        <v>3054</v>
      </c>
      <c r="D138" s="2955" t="s">
        <v>3154</v>
      </c>
      <c r="E138" s="2955">
        <v>99.53</v>
      </c>
      <c r="F138" s="3169">
        <v>2074703</v>
      </c>
      <c r="G138" s="3252">
        <f t="shared" si="2"/>
        <v>20845.001507083292</v>
      </c>
      <c r="I138" s="3287" t="s">
        <v>4384</v>
      </c>
      <c r="J138" s="3287" t="s">
        <v>4372</v>
      </c>
      <c r="K138" s="3287" t="s">
        <v>4377</v>
      </c>
      <c r="L138" s="3281" t="s">
        <v>4385</v>
      </c>
      <c r="M138" s="3282">
        <v>97.07</v>
      </c>
    </row>
    <row r="139" spans="1:13" ht="16.5">
      <c r="A139" s="2955">
        <v>138</v>
      </c>
      <c r="B139" s="2955" t="s">
        <v>3053</v>
      </c>
      <c r="C139" s="2955" t="s">
        <v>3054</v>
      </c>
      <c r="D139" s="2955" t="s">
        <v>3155</v>
      </c>
      <c r="E139" s="2955">
        <v>123.51</v>
      </c>
      <c r="F139" s="3169">
        <v>2500460</v>
      </c>
      <c r="G139" s="3252">
        <f t="shared" si="2"/>
        <v>20245.000404825518</v>
      </c>
      <c r="I139" s="3287" t="s">
        <v>4384</v>
      </c>
      <c r="J139" s="3287" t="s">
        <v>4374</v>
      </c>
      <c r="K139" s="3287" t="s">
        <v>4364</v>
      </c>
      <c r="L139" s="3281" t="s">
        <v>4386</v>
      </c>
      <c r="M139" s="3282">
        <v>96.7</v>
      </c>
    </row>
    <row r="140" spans="1:13" ht="16.5">
      <c r="A140" s="2955">
        <v>139</v>
      </c>
      <c r="B140" s="2955" t="s">
        <v>3053</v>
      </c>
      <c r="C140" s="2955" t="s">
        <v>3054</v>
      </c>
      <c r="D140" s="2955" t="s">
        <v>3156</v>
      </c>
      <c r="E140" s="2955">
        <v>99.53</v>
      </c>
      <c r="F140" s="3169">
        <v>2104562</v>
      </c>
      <c r="G140" s="3252">
        <f t="shared" si="2"/>
        <v>21145.001507083292</v>
      </c>
      <c r="I140" s="3287" t="s">
        <v>4384</v>
      </c>
      <c r="J140" s="3287" t="s">
        <v>4371</v>
      </c>
      <c r="K140" s="3287" t="s">
        <v>4361</v>
      </c>
      <c r="L140" s="3281" t="s">
        <v>4387</v>
      </c>
      <c r="M140" s="3282">
        <v>97.52</v>
      </c>
    </row>
    <row r="141" spans="1:13" ht="16.5">
      <c r="A141" s="2955">
        <v>140</v>
      </c>
      <c r="B141" s="2955" t="s">
        <v>3053</v>
      </c>
      <c r="C141" s="2955" t="s">
        <v>3054</v>
      </c>
      <c r="D141" s="2955" t="s">
        <v>3157</v>
      </c>
      <c r="E141" s="2955">
        <v>125.29</v>
      </c>
      <c r="F141" s="3169">
        <v>2523967</v>
      </c>
      <c r="G141" s="3252">
        <f t="shared" si="2"/>
        <v>20144.99960092585</v>
      </c>
      <c r="I141" s="3287" t="s">
        <v>4384</v>
      </c>
      <c r="J141" s="3287" t="s">
        <v>4378</v>
      </c>
      <c r="K141" s="3287" t="s">
        <v>4364</v>
      </c>
      <c r="L141" s="3281" t="s">
        <v>4388</v>
      </c>
      <c r="M141" s="3282">
        <v>96.7</v>
      </c>
    </row>
    <row r="142" spans="1:13" ht="16.5">
      <c r="A142" s="2955">
        <v>141</v>
      </c>
      <c r="B142" s="2955" t="s">
        <v>3053</v>
      </c>
      <c r="C142" s="2955" t="s">
        <v>3054</v>
      </c>
      <c r="D142" s="2955" t="s">
        <v>3158</v>
      </c>
      <c r="E142" s="2955">
        <v>97.85</v>
      </c>
      <c r="F142" s="3169">
        <v>2029898</v>
      </c>
      <c r="G142" s="3252">
        <f t="shared" si="2"/>
        <v>20744.997445068984</v>
      </c>
      <c r="I142" s="3288" t="s">
        <v>4389</v>
      </c>
      <c r="J142" s="3288" t="s">
        <v>4371</v>
      </c>
      <c r="K142" s="3288" t="s">
        <v>4377</v>
      </c>
      <c r="L142" s="3289" t="s">
        <v>4390</v>
      </c>
      <c r="M142" s="3290">
        <v>141.91</v>
      </c>
    </row>
    <row r="143" spans="1:13" ht="16.5">
      <c r="A143" s="2955">
        <v>142</v>
      </c>
      <c r="B143" s="2955" t="s">
        <v>3053</v>
      </c>
      <c r="C143" s="2955" t="s">
        <v>3054</v>
      </c>
      <c r="D143" s="2955" t="s">
        <v>3159</v>
      </c>
      <c r="E143" s="2955">
        <v>125.29</v>
      </c>
      <c r="F143" s="3169">
        <v>2561554</v>
      </c>
      <c r="G143" s="3252">
        <f t="shared" si="2"/>
        <v>20444.99960092585</v>
      </c>
      <c r="I143" s="3291" t="s">
        <v>4391</v>
      </c>
      <c r="J143" s="3291" t="s">
        <v>4372</v>
      </c>
      <c r="K143" s="3291" t="s">
        <v>4367</v>
      </c>
      <c r="L143" s="3292" t="s">
        <v>4392</v>
      </c>
      <c r="M143" s="3293">
        <v>96.45</v>
      </c>
    </row>
    <row r="144" spans="1:13" ht="16.5">
      <c r="A144" s="2955">
        <v>143</v>
      </c>
      <c r="B144" s="2955" t="s">
        <v>3053</v>
      </c>
      <c r="C144" s="2955" t="s">
        <v>3054</v>
      </c>
      <c r="D144" s="2955" t="s">
        <v>3160</v>
      </c>
      <c r="E144" s="2955">
        <v>120.33</v>
      </c>
      <c r="F144" s="3169">
        <v>2436081</v>
      </c>
      <c r="G144" s="3252">
        <f t="shared" si="2"/>
        <v>20245.001246571926</v>
      </c>
      <c r="I144" s="3294" t="s">
        <v>4393</v>
      </c>
      <c r="J144" s="3294" t="s">
        <v>4394</v>
      </c>
      <c r="K144" s="3294" t="s">
        <v>4395</v>
      </c>
      <c r="L144" s="3295" t="s">
        <v>4396</v>
      </c>
      <c r="M144" s="3296">
        <v>97.15</v>
      </c>
    </row>
    <row r="145" spans="1:13" ht="16.5">
      <c r="A145" s="2955">
        <v>144</v>
      </c>
      <c r="B145" s="2955" t="s">
        <v>3053</v>
      </c>
      <c r="C145" s="2955" t="s">
        <v>3054</v>
      </c>
      <c r="D145" s="2955" t="s">
        <v>3161</v>
      </c>
      <c r="E145" s="2955">
        <v>99.53</v>
      </c>
      <c r="F145" s="3169">
        <v>2108543</v>
      </c>
      <c r="G145" s="3252">
        <f t="shared" si="2"/>
        <v>21184.999497638903</v>
      </c>
      <c r="I145" s="3294" t="s">
        <v>4393</v>
      </c>
      <c r="J145" s="3294" t="s">
        <v>4397</v>
      </c>
      <c r="K145" s="3294" t="s">
        <v>4398</v>
      </c>
      <c r="L145" s="3295" t="s">
        <v>4399</v>
      </c>
      <c r="M145" s="3296">
        <v>97.15</v>
      </c>
    </row>
    <row r="146" spans="1:13" ht="16.5">
      <c r="A146" s="2955">
        <v>145</v>
      </c>
      <c r="B146" s="2955" t="s">
        <v>3053</v>
      </c>
      <c r="C146" s="2955" t="s">
        <v>3054</v>
      </c>
      <c r="D146" s="2955" t="s">
        <v>3162</v>
      </c>
      <c r="E146" s="2955">
        <v>122.13</v>
      </c>
      <c r="F146" s="3169">
        <v>2435883</v>
      </c>
      <c r="G146" s="3252">
        <f t="shared" si="2"/>
        <v>19945.00122819946</v>
      </c>
      <c r="I146" s="3291" t="s">
        <v>4400</v>
      </c>
      <c r="J146" s="3291" t="s">
        <v>4394</v>
      </c>
      <c r="K146" s="3291" t="s">
        <v>4401</v>
      </c>
      <c r="L146" s="3292" t="s">
        <v>4402</v>
      </c>
      <c r="M146" s="3293">
        <v>97.27</v>
      </c>
    </row>
    <row r="147" spans="1:13" ht="16.5">
      <c r="A147" s="2955">
        <v>146</v>
      </c>
      <c r="B147" s="2955" t="s">
        <v>3053</v>
      </c>
      <c r="C147" s="2955" t="s">
        <v>3054</v>
      </c>
      <c r="D147" s="2955" t="s">
        <v>3163</v>
      </c>
      <c r="E147" s="2955">
        <v>99.53</v>
      </c>
      <c r="F147" s="3169">
        <v>2126458</v>
      </c>
      <c r="G147" s="3252">
        <f t="shared" si="2"/>
        <v>21364.995478750126</v>
      </c>
      <c r="I147" s="3294" t="s">
        <v>4393</v>
      </c>
      <c r="J147" s="3294" t="s">
        <v>4397</v>
      </c>
      <c r="K147" s="3294" t="s">
        <v>4403</v>
      </c>
      <c r="L147" s="3295" t="s">
        <v>4404</v>
      </c>
      <c r="M147" s="3296">
        <v>96.34</v>
      </c>
    </row>
    <row r="148" spans="1:13" ht="16.5">
      <c r="A148" s="2955">
        <v>147</v>
      </c>
      <c r="B148" s="2955" t="s">
        <v>3053</v>
      </c>
      <c r="C148" s="2955" t="s">
        <v>3054</v>
      </c>
      <c r="D148" s="2955" t="s">
        <v>3164</v>
      </c>
      <c r="E148" s="2955">
        <v>99.53</v>
      </c>
      <c r="F148" s="3169">
        <v>2124468</v>
      </c>
      <c r="G148" s="3252">
        <f t="shared" si="2"/>
        <v>21345.001507083292</v>
      </c>
      <c r="I148" s="3294" t="s">
        <v>4393</v>
      </c>
      <c r="J148" s="3294" t="s">
        <v>4397</v>
      </c>
      <c r="K148" s="3294" t="s">
        <v>4405</v>
      </c>
      <c r="L148" s="3295" t="s">
        <v>4406</v>
      </c>
      <c r="M148" s="3296">
        <v>97.15</v>
      </c>
    </row>
    <row r="149" spans="1:13" ht="16.5">
      <c r="A149" s="2955">
        <v>148</v>
      </c>
      <c r="B149" s="2955" t="s">
        <v>3053</v>
      </c>
      <c r="C149" s="2955" t="s">
        <v>3054</v>
      </c>
      <c r="D149" s="2955" t="s">
        <v>3165</v>
      </c>
      <c r="E149" s="2955">
        <v>99.53</v>
      </c>
      <c r="F149" s="3169">
        <v>2124468</v>
      </c>
      <c r="G149" s="3252">
        <f t="shared" si="2"/>
        <v>21345.001507083292</v>
      </c>
      <c r="I149" s="3297" t="s">
        <v>4407</v>
      </c>
      <c r="J149" s="3297" t="s">
        <v>4408</v>
      </c>
      <c r="K149" s="3297" t="s">
        <v>4403</v>
      </c>
      <c r="L149" s="3298" t="s">
        <v>4409</v>
      </c>
      <c r="M149" s="3299">
        <v>96.6</v>
      </c>
    </row>
    <row r="150" spans="1:13" ht="16.5">
      <c r="A150" s="2955">
        <v>149</v>
      </c>
      <c r="B150" s="2955" t="s">
        <v>3053</v>
      </c>
      <c r="C150" s="2955" t="s">
        <v>3054</v>
      </c>
      <c r="D150" s="2955" t="s">
        <v>3166</v>
      </c>
      <c r="E150" s="2955">
        <v>123.51</v>
      </c>
      <c r="F150" s="3169">
        <v>2574566</v>
      </c>
      <c r="G150" s="3252">
        <f t="shared" si="2"/>
        <v>20845.000404825518</v>
      </c>
      <c r="I150" s="3300" t="s">
        <v>4410</v>
      </c>
      <c r="J150" s="3300" t="s">
        <v>4408</v>
      </c>
      <c r="K150" s="3300" t="s">
        <v>4403</v>
      </c>
      <c r="L150" s="3301" t="s">
        <v>4411</v>
      </c>
      <c r="M150" s="3302">
        <v>127.22</v>
      </c>
    </row>
    <row r="151" spans="1:13" ht="16.5">
      <c r="A151" s="2955">
        <v>150</v>
      </c>
      <c r="B151" s="2955" t="s">
        <v>3053</v>
      </c>
      <c r="C151" s="2955" t="s">
        <v>3054</v>
      </c>
      <c r="D151" s="2955" t="s">
        <v>3167</v>
      </c>
      <c r="E151" s="2955">
        <v>123.51</v>
      </c>
      <c r="F151" s="3169">
        <v>2532573</v>
      </c>
      <c r="G151" s="3252">
        <f t="shared" si="2"/>
        <v>20505.003643429682</v>
      </c>
      <c r="I151" s="3300" t="s">
        <v>4410</v>
      </c>
      <c r="J151" s="3300" t="s">
        <v>4394</v>
      </c>
      <c r="K151" s="3300" t="s">
        <v>4412</v>
      </c>
      <c r="L151" s="3301" t="s">
        <v>4413</v>
      </c>
      <c r="M151" s="3302">
        <v>127.22</v>
      </c>
    </row>
    <row r="152" spans="1:13" ht="16.5">
      <c r="A152" s="2955">
        <v>151</v>
      </c>
      <c r="B152" s="2955" t="s">
        <v>3053</v>
      </c>
      <c r="C152" s="2955" t="s">
        <v>3054</v>
      </c>
      <c r="D152" s="2955" t="s">
        <v>3168</v>
      </c>
      <c r="E152" s="2955">
        <v>125.29</v>
      </c>
      <c r="F152" s="3169">
        <v>2574083</v>
      </c>
      <c r="G152" s="3252">
        <f t="shared" si="2"/>
        <v>20544.99960092585</v>
      </c>
      <c r="I152" s="3297" t="s">
        <v>4407</v>
      </c>
      <c r="J152" s="3297" t="s">
        <v>4394</v>
      </c>
      <c r="K152" s="3297" t="s">
        <v>4395</v>
      </c>
      <c r="L152" s="3298" t="s">
        <v>4414</v>
      </c>
      <c r="M152" s="3299">
        <v>97.42</v>
      </c>
    </row>
    <row r="153" spans="1:13" ht="16.5">
      <c r="A153" s="2955">
        <v>152</v>
      </c>
      <c r="B153" s="2955" t="s">
        <v>3053</v>
      </c>
      <c r="C153" s="2955" t="s">
        <v>3054</v>
      </c>
      <c r="D153" s="2955" t="s">
        <v>3169</v>
      </c>
      <c r="E153" s="2955">
        <v>125.29</v>
      </c>
      <c r="F153" s="3169">
        <v>2498909</v>
      </c>
      <c r="G153" s="3252">
        <f t="shared" si="2"/>
        <v>19944.99960092585</v>
      </c>
      <c r="I153" s="3303" t="s">
        <v>4415</v>
      </c>
      <c r="J153" s="3303" t="s">
        <v>4394</v>
      </c>
      <c r="K153" s="3303" t="s">
        <v>4401</v>
      </c>
      <c r="L153" s="3304" t="s">
        <v>4416</v>
      </c>
      <c r="M153" s="3305">
        <v>159.76</v>
      </c>
    </row>
    <row r="154" spans="1:13" ht="16.5">
      <c r="A154" s="2955">
        <v>153</v>
      </c>
      <c r="B154" s="2955" t="s">
        <v>3053</v>
      </c>
      <c r="C154" s="2955" t="s">
        <v>3054</v>
      </c>
      <c r="D154" s="2955" t="s">
        <v>3170</v>
      </c>
      <c r="E154" s="2955">
        <v>123.51</v>
      </c>
      <c r="F154" s="3169">
        <v>2512811</v>
      </c>
      <c r="G154" s="3252">
        <f t="shared" si="2"/>
        <v>20345.000404825518</v>
      </c>
      <c r="I154" s="3263" t="s">
        <v>4417</v>
      </c>
      <c r="J154" s="3263" t="s">
        <v>4408</v>
      </c>
      <c r="K154" s="3263" t="s">
        <v>4405</v>
      </c>
      <c r="L154" s="3261" t="s">
        <v>4418</v>
      </c>
      <c r="M154" s="3262">
        <v>143.32</v>
      </c>
    </row>
    <row r="155" spans="1:13" ht="16.5">
      <c r="A155" s="2955">
        <v>154</v>
      </c>
      <c r="B155" s="2955" t="s">
        <v>3053</v>
      </c>
      <c r="C155" s="2955" t="s">
        <v>3054</v>
      </c>
      <c r="D155" s="2955" t="s">
        <v>3171</v>
      </c>
      <c r="E155" s="2955">
        <v>99.53</v>
      </c>
      <c r="F155" s="3169">
        <v>2074703</v>
      </c>
      <c r="G155" s="3252">
        <f t="shared" si="2"/>
        <v>20845.001507083292</v>
      </c>
      <c r="I155" s="3303" t="s">
        <v>4415</v>
      </c>
      <c r="J155" s="3303" t="s">
        <v>4408</v>
      </c>
      <c r="K155" s="3303" t="s">
        <v>4419</v>
      </c>
      <c r="L155" s="3304" t="s">
        <v>4420</v>
      </c>
      <c r="M155" s="3305">
        <v>133.13</v>
      </c>
    </row>
    <row r="156" spans="1:13" ht="16.5">
      <c r="A156" s="2955">
        <v>155</v>
      </c>
      <c r="B156" s="2955" t="s">
        <v>3053</v>
      </c>
      <c r="C156" s="2955" t="s">
        <v>3054</v>
      </c>
      <c r="D156" s="2955" t="s">
        <v>3172</v>
      </c>
      <c r="E156" s="2955">
        <v>123.51</v>
      </c>
      <c r="F156" s="3169">
        <v>2577036</v>
      </c>
      <c r="G156" s="3252">
        <f t="shared" si="2"/>
        <v>20864.998785523439</v>
      </c>
      <c r="I156" s="3263" t="s">
        <v>4421</v>
      </c>
      <c r="J156" s="3263" t="s">
        <v>4422</v>
      </c>
      <c r="K156" s="3263" t="s">
        <v>4423</v>
      </c>
      <c r="L156" s="3261" t="s">
        <v>4424</v>
      </c>
      <c r="M156" s="3262">
        <v>143.32</v>
      </c>
    </row>
    <row r="157" spans="1:13" ht="16.5">
      <c r="A157" s="2955">
        <v>156</v>
      </c>
      <c r="B157" s="2955" t="s">
        <v>3053</v>
      </c>
      <c r="C157" s="2955" t="s">
        <v>3054</v>
      </c>
      <c r="D157" s="2955" t="s">
        <v>3173</v>
      </c>
      <c r="E157" s="2955">
        <v>99.53</v>
      </c>
      <c r="F157" s="3169">
        <v>2144374</v>
      </c>
      <c r="G157" s="3252">
        <f t="shared" si="2"/>
        <v>21545.001507083292</v>
      </c>
      <c r="I157" s="3303" t="s">
        <v>4425</v>
      </c>
      <c r="J157" s="3303" t="s">
        <v>4426</v>
      </c>
      <c r="K157" s="3303" t="s">
        <v>4423</v>
      </c>
      <c r="L157" s="3304" t="s">
        <v>4427</v>
      </c>
      <c r="M157" s="3305">
        <v>127.22</v>
      </c>
    </row>
    <row r="158" spans="1:13" ht="16.5">
      <c r="A158" s="2955">
        <v>157</v>
      </c>
      <c r="B158" s="2955" t="s">
        <v>3053</v>
      </c>
      <c r="C158" s="2955" t="s">
        <v>3054</v>
      </c>
      <c r="D158" s="2955" t="s">
        <v>3174</v>
      </c>
      <c r="E158" s="2955">
        <v>99.53</v>
      </c>
      <c r="F158" s="3169">
        <v>2120487</v>
      </c>
      <c r="G158" s="3252">
        <f t="shared" si="2"/>
        <v>21305.003516527679</v>
      </c>
      <c r="I158" s="3287" t="s">
        <v>4428</v>
      </c>
      <c r="J158" s="3287" t="s">
        <v>4429</v>
      </c>
      <c r="K158" s="3287" t="s">
        <v>4430</v>
      </c>
      <c r="L158" s="3281" t="s">
        <v>4431</v>
      </c>
      <c r="M158" s="3282">
        <v>96.7</v>
      </c>
    </row>
    <row r="159" spans="1:13" ht="16.5">
      <c r="A159" s="2955">
        <v>158</v>
      </c>
      <c r="B159" s="2955" t="s">
        <v>3053</v>
      </c>
      <c r="C159" s="2955" t="s">
        <v>3054</v>
      </c>
      <c r="D159" s="2955" t="s">
        <v>3175</v>
      </c>
      <c r="E159" s="2955">
        <v>99.53</v>
      </c>
      <c r="F159" s="3169">
        <v>2092618</v>
      </c>
      <c r="G159" s="3252">
        <f t="shared" si="2"/>
        <v>21024.997488194513</v>
      </c>
      <c r="I159" s="3287" t="s">
        <v>4428</v>
      </c>
      <c r="J159" s="3287" t="s">
        <v>4432</v>
      </c>
      <c r="K159" s="3287" t="s">
        <v>4433</v>
      </c>
      <c r="L159" s="3281" t="s">
        <v>4434</v>
      </c>
      <c r="M159" s="3282">
        <v>96.7</v>
      </c>
    </row>
    <row r="160" spans="1:13" ht="16.5">
      <c r="A160" s="2955">
        <v>159</v>
      </c>
      <c r="B160" s="2955" t="s">
        <v>3053</v>
      </c>
      <c r="C160" s="2955" t="s">
        <v>3054</v>
      </c>
      <c r="D160" s="2955" t="s">
        <v>3176</v>
      </c>
      <c r="E160" s="2955">
        <v>123.51</v>
      </c>
      <c r="F160" s="3169">
        <v>2599268</v>
      </c>
      <c r="G160" s="3252">
        <f t="shared" si="2"/>
        <v>21045.000404825518</v>
      </c>
      <c r="I160" s="3303" t="s">
        <v>4425</v>
      </c>
      <c r="J160" s="3303" t="s">
        <v>4426</v>
      </c>
      <c r="K160" s="3303" t="s">
        <v>4430</v>
      </c>
      <c r="L160" s="3304" t="s">
        <v>4435</v>
      </c>
      <c r="M160" s="3305">
        <v>133.13</v>
      </c>
    </row>
    <row r="161" spans="1:13" ht="16.5">
      <c r="A161" s="2955">
        <v>160</v>
      </c>
      <c r="B161" s="2955" t="s">
        <v>3053</v>
      </c>
      <c r="C161" s="2955" t="s">
        <v>3054</v>
      </c>
      <c r="D161" s="2955" t="s">
        <v>3177</v>
      </c>
      <c r="E161" s="2955">
        <v>99.53</v>
      </c>
      <c r="F161" s="3169">
        <v>2144374</v>
      </c>
      <c r="G161" s="3252">
        <f t="shared" si="2"/>
        <v>21545.001507083292</v>
      </c>
      <c r="I161" s="3297" t="s">
        <v>4436</v>
      </c>
      <c r="J161" s="3297" t="s">
        <v>4426</v>
      </c>
      <c r="K161" s="3297" t="s">
        <v>4437</v>
      </c>
      <c r="L161" s="3298" t="s">
        <v>4438</v>
      </c>
      <c r="M161" s="3299">
        <v>107.21</v>
      </c>
    </row>
    <row r="162" spans="1:13" ht="16.5">
      <c r="A162" s="2955">
        <v>161</v>
      </c>
      <c r="B162" s="2955" t="s">
        <v>3053</v>
      </c>
      <c r="C162" s="2955" t="s">
        <v>3054</v>
      </c>
      <c r="D162" s="2955" t="s">
        <v>3178</v>
      </c>
      <c r="E162" s="2955">
        <v>125.29</v>
      </c>
      <c r="F162" s="3169">
        <v>2569071</v>
      </c>
      <c r="G162" s="3252">
        <f t="shared" si="2"/>
        <v>20504.996408332667</v>
      </c>
      <c r="I162" s="3291" t="s">
        <v>4439</v>
      </c>
      <c r="J162" s="3291" t="s">
        <v>4422</v>
      </c>
      <c r="K162" s="3291" t="s">
        <v>4440</v>
      </c>
      <c r="L162" s="3292" t="s">
        <v>4441</v>
      </c>
      <c r="M162" s="3293">
        <v>96.82</v>
      </c>
    </row>
    <row r="163" spans="1:13" ht="16.5">
      <c r="A163" s="2955">
        <v>162</v>
      </c>
      <c r="B163" s="2955" t="s">
        <v>3053</v>
      </c>
      <c r="C163" s="2955" t="s">
        <v>3054</v>
      </c>
      <c r="D163" s="2955" t="s">
        <v>3179</v>
      </c>
      <c r="E163" s="2955">
        <v>123.51</v>
      </c>
      <c r="F163" s="3169">
        <v>2525162</v>
      </c>
      <c r="G163" s="3252">
        <f t="shared" si="2"/>
        <v>20445.000404825518</v>
      </c>
      <c r="I163" s="3294" t="s">
        <v>4442</v>
      </c>
      <c r="J163" s="3294" t="s">
        <v>4426</v>
      </c>
      <c r="K163" s="3294" t="s">
        <v>4440</v>
      </c>
      <c r="L163" s="3295" t="s">
        <v>4443</v>
      </c>
      <c r="M163" s="3296">
        <v>96.34</v>
      </c>
    </row>
    <row r="164" spans="1:13" ht="16.5">
      <c r="A164" s="2955">
        <v>163</v>
      </c>
      <c r="B164" s="2955" t="s">
        <v>3053</v>
      </c>
      <c r="C164" s="2955" t="s">
        <v>3054</v>
      </c>
      <c r="D164" s="2955" t="s">
        <v>3180</v>
      </c>
      <c r="E164" s="2955">
        <v>123.51</v>
      </c>
      <c r="F164" s="3169">
        <v>2586917</v>
      </c>
      <c r="G164" s="3252">
        <f t="shared" si="2"/>
        <v>20945.000404825518</v>
      </c>
      <c r="I164" s="3303" t="s">
        <v>4425</v>
      </c>
      <c r="J164" s="3303" t="s">
        <v>4422</v>
      </c>
      <c r="K164" s="3303" t="s">
        <v>4444</v>
      </c>
      <c r="L164" s="3304" t="s">
        <v>4445</v>
      </c>
      <c r="M164" s="3305">
        <v>127.22</v>
      </c>
    </row>
    <row r="165" spans="1:13" ht="16.5">
      <c r="A165" s="2955">
        <v>164</v>
      </c>
      <c r="B165" s="2955" t="s">
        <v>3053</v>
      </c>
      <c r="C165" s="2955" t="s">
        <v>3054</v>
      </c>
      <c r="D165" s="2955" t="s">
        <v>3181</v>
      </c>
      <c r="E165" s="2955">
        <v>99.53</v>
      </c>
      <c r="F165" s="3169">
        <v>2098590</v>
      </c>
      <c r="G165" s="3252">
        <f t="shared" si="2"/>
        <v>21084.999497638903</v>
      </c>
      <c r="I165" s="3303" t="s">
        <v>4425</v>
      </c>
      <c r="J165" s="3303" t="s">
        <v>4422</v>
      </c>
      <c r="K165" s="3303" t="s">
        <v>4446</v>
      </c>
      <c r="L165" s="3304" t="s">
        <v>4447</v>
      </c>
      <c r="M165" s="3305">
        <v>127.22</v>
      </c>
    </row>
    <row r="166" spans="1:13" ht="16.5">
      <c r="A166" s="2955">
        <v>165</v>
      </c>
      <c r="B166" s="2955" t="s">
        <v>3053</v>
      </c>
      <c r="C166" s="2955" t="s">
        <v>3054</v>
      </c>
      <c r="D166" s="2955" t="s">
        <v>3182</v>
      </c>
      <c r="E166" s="2955">
        <v>125.29</v>
      </c>
      <c r="F166" s="3169">
        <v>2599141</v>
      </c>
      <c r="G166" s="3252">
        <f t="shared" si="2"/>
        <v>20744.99960092585</v>
      </c>
      <c r="I166" s="3287" t="s">
        <v>4428</v>
      </c>
      <c r="J166" s="3287" t="s">
        <v>4432</v>
      </c>
      <c r="K166" s="3287" t="s">
        <v>4448</v>
      </c>
      <c r="L166" s="3281" t="s">
        <v>4449</v>
      </c>
      <c r="M166" s="3282">
        <v>97.07</v>
      </c>
    </row>
    <row r="167" spans="1:13" ht="16.5">
      <c r="A167" s="2955">
        <v>166</v>
      </c>
      <c r="B167" s="2955" t="s">
        <v>3053</v>
      </c>
      <c r="C167" s="2955" t="s">
        <v>3054</v>
      </c>
      <c r="D167" s="2955" t="s">
        <v>3183</v>
      </c>
      <c r="E167" s="2955">
        <v>99.53</v>
      </c>
      <c r="F167" s="3169">
        <v>2074703</v>
      </c>
      <c r="G167" s="3252">
        <f t="shared" si="2"/>
        <v>20845.001507083292</v>
      </c>
      <c r="I167" s="3297" t="s">
        <v>4436</v>
      </c>
      <c r="J167" s="3297" t="s">
        <v>4426</v>
      </c>
      <c r="K167" s="3297" t="s">
        <v>4448</v>
      </c>
      <c r="L167" s="3298" t="s">
        <v>4450</v>
      </c>
      <c r="M167" s="3299">
        <v>96.6</v>
      </c>
    </row>
    <row r="168" spans="1:13" ht="16.5">
      <c r="A168" s="2955">
        <v>167</v>
      </c>
      <c r="B168" s="2955" t="s">
        <v>3053</v>
      </c>
      <c r="C168" s="2955" t="s">
        <v>3054</v>
      </c>
      <c r="D168" s="2955" t="s">
        <v>3184</v>
      </c>
      <c r="E168" s="2955">
        <v>123.51</v>
      </c>
      <c r="F168" s="3169">
        <v>2574566</v>
      </c>
      <c r="G168" s="3252">
        <f t="shared" si="2"/>
        <v>20845.000404825518</v>
      </c>
      <c r="I168" s="3291" t="s">
        <v>4439</v>
      </c>
      <c r="J168" s="3291" t="s">
        <v>4429</v>
      </c>
      <c r="K168" s="3291" t="s">
        <v>4446</v>
      </c>
      <c r="L168" s="3292" t="s">
        <v>4451</v>
      </c>
      <c r="M168" s="3293">
        <v>96.45</v>
      </c>
    </row>
    <row r="169" spans="1:13" ht="16.5">
      <c r="A169" s="2955">
        <v>168</v>
      </c>
      <c r="B169" s="2955" t="s">
        <v>3053</v>
      </c>
      <c r="C169" s="2955" t="s">
        <v>3054</v>
      </c>
      <c r="D169" s="2955" t="s">
        <v>3185</v>
      </c>
      <c r="E169" s="2955">
        <v>99.53</v>
      </c>
      <c r="F169" s="3169">
        <v>2104562</v>
      </c>
      <c r="G169" s="3252">
        <f t="shared" si="2"/>
        <v>21145.001507083292</v>
      </c>
      <c r="I169" s="3297" t="s">
        <v>4436</v>
      </c>
      <c r="J169" s="3297" t="s">
        <v>4422</v>
      </c>
      <c r="K169" s="3297" t="s">
        <v>4448</v>
      </c>
      <c r="L169" s="3298" t="s">
        <v>4452</v>
      </c>
      <c r="M169" s="3299">
        <v>97.42</v>
      </c>
    </row>
    <row r="170" spans="1:13" ht="16.5">
      <c r="A170" s="2955">
        <v>169</v>
      </c>
      <c r="B170" s="2955" t="s">
        <v>3053</v>
      </c>
      <c r="C170" s="2955" t="s">
        <v>3054</v>
      </c>
      <c r="D170" s="2955" t="s">
        <v>3186</v>
      </c>
      <c r="E170" s="2955">
        <v>99.53</v>
      </c>
      <c r="F170" s="3169">
        <v>2104562</v>
      </c>
      <c r="G170" s="3252">
        <f t="shared" si="2"/>
        <v>21145.001507083292</v>
      </c>
      <c r="I170" s="3288" t="s">
        <v>4453</v>
      </c>
      <c r="J170" s="3288" t="s">
        <v>4429</v>
      </c>
      <c r="K170" s="3288" t="s">
        <v>4430</v>
      </c>
      <c r="L170" s="3289" t="s">
        <v>4454</v>
      </c>
      <c r="M170" s="3290">
        <v>126.32</v>
      </c>
    </row>
    <row r="171" spans="1:13" ht="16.5">
      <c r="A171" s="2955">
        <v>170</v>
      </c>
      <c r="B171" s="2955" t="s">
        <v>3053</v>
      </c>
      <c r="C171" s="2955" t="s">
        <v>3054</v>
      </c>
      <c r="D171" s="2955" t="s">
        <v>3187</v>
      </c>
      <c r="E171" s="2955">
        <v>123.51</v>
      </c>
      <c r="F171" s="3169">
        <v>2539983</v>
      </c>
      <c r="G171" s="3252">
        <f t="shared" si="2"/>
        <v>20564.998785523439</v>
      </c>
      <c r="I171" s="3263" t="s">
        <v>4421</v>
      </c>
      <c r="J171" s="3263" t="s">
        <v>4422</v>
      </c>
      <c r="K171" s="3263" t="s">
        <v>4433</v>
      </c>
      <c r="L171" s="3261" t="s">
        <v>4455</v>
      </c>
      <c r="M171" s="3262">
        <v>143.03</v>
      </c>
    </row>
    <row r="172" spans="1:13" ht="16.5">
      <c r="A172" s="2955">
        <v>171</v>
      </c>
      <c r="B172" s="2955" t="s">
        <v>3053</v>
      </c>
      <c r="C172" s="2955" t="s">
        <v>3054</v>
      </c>
      <c r="D172" s="2955" t="s">
        <v>3188</v>
      </c>
      <c r="E172" s="2955">
        <v>123.51</v>
      </c>
      <c r="F172" s="3169">
        <v>2599268</v>
      </c>
      <c r="G172" s="3252">
        <f t="shared" si="2"/>
        <v>21045.000404825518</v>
      </c>
      <c r="I172" s="3303" t="s">
        <v>4425</v>
      </c>
      <c r="J172" s="3303" t="s">
        <v>4426</v>
      </c>
      <c r="K172" s="3303" t="s">
        <v>4440</v>
      </c>
      <c r="L172" s="3304" t="s">
        <v>4456</v>
      </c>
      <c r="M172" s="3305">
        <v>165.51</v>
      </c>
    </row>
    <row r="173" spans="1:13" ht="16.5">
      <c r="A173" s="2955">
        <v>172</v>
      </c>
      <c r="B173" s="2955" t="s">
        <v>3053</v>
      </c>
      <c r="C173" s="2955" t="s">
        <v>3054</v>
      </c>
      <c r="D173" s="2955" t="s">
        <v>3189</v>
      </c>
      <c r="E173" s="2955">
        <v>99.53</v>
      </c>
      <c r="F173" s="3169">
        <v>2102571</v>
      </c>
      <c r="G173" s="3252">
        <f t="shared" si="2"/>
        <v>21124.997488194513</v>
      </c>
      <c r="I173" s="3287" t="s">
        <v>4428</v>
      </c>
      <c r="J173" s="3287" t="s">
        <v>4432</v>
      </c>
      <c r="K173" s="3287" t="s">
        <v>4457</v>
      </c>
      <c r="L173" s="3281" t="s">
        <v>4458</v>
      </c>
      <c r="M173" s="3282">
        <v>97.07</v>
      </c>
    </row>
    <row r="174" spans="1:13" ht="16.5">
      <c r="A174" s="2955">
        <v>173</v>
      </c>
      <c r="B174" s="2955" t="s">
        <v>3053</v>
      </c>
      <c r="C174" s="2955" t="s">
        <v>3054</v>
      </c>
      <c r="D174" s="2955" t="s">
        <v>3190</v>
      </c>
      <c r="E174" s="2955">
        <v>123.51</v>
      </c>
      <c r="F174" s="3169">
        <v>2586917</v>
      </c>
      <c r="G174" s="3252">
        <f t="shared" si="2"/>
        <v>20945.000404825518</v>
      </c>
      <c r="I174" s="3294" t="s">
        <v>4442</v>
      </c>
      <c r="J174" s="3294" t="s">
        <v>4429</v>
      </c>
      <c r="K174" s="3294" t="s">
        <v>4433</v>
      </c>
      <c r="L174" s="3295" t="s">
        <v>4459</v>
      </c>
      <c r="M174" s="3296">
        <v>96.34</v>
      </c>
    </row>
    <row r="175" spans="1:13">
      <c r="A175" s="2955">
        <v>174</v>
      </c>
      <c r="B175" s="2955" t="s">
        <v>3053</v>
      </c>
      <c r="C175" s="2955" t="s">
        <v>3054</v>
      </c>
      <c r="D175" s="2955" t="s">
        <v>3191</v>
      </c>
      <c r="E175" s="2955">
        <v>123.51</v>
      </c>
      <c r="F175" s="3169">
        <v>2562215</v>
      </c>
      <c r="G175" s="3252">
        <f t="shared" si="2"/>
        <v>20745.000404825518</v>
      </c>
    </row>
    <row r="176" spans="1:13">
      <c r="A176" s="2955">
        <v>175</v>
      </c>
      <c r="B176" s="2955" t="s">
        <v>3053</v>
      </c>
      <c r="C176" s="2955" t="s">
        <v>3054</v>
      </c>
      <c r="D176" s="2955" t="s">
        <v>3192</v>
      </c>
      <c r="E176" s="2955">
        <v>99.53</v>
      </c>
      <c r="F176" s="3169">
        <v>2116505</v>
      </c>
      <c r="G176" s="3252">
        <f t="shared" si="2"/>
        <v>21264.995478750126</v>
      </c>
    </row>
    <row r="177" spans="1:7">
      <c r="A177" s="2955">
        <v>176</v>
      </c>
      <c r="B177" s="2955" t="s">
        <v>3053</v>
      </c>
      <c r="C177" s="2955" t="s">
        <v>3054</v>
      </c>
      <c r="D177" s="2955" t="s">
        <v>3193</v>
      </c>
      <c r="E177" s="2955">
        <v>125.29</v>
      </c>
      <c r="F177" s="3169">
        <v>2554037</v>
      </c>
      <c r="G177" s="3252">
        <f t="shared" si="2"/>
        <v>20385.002793519034</v>
      </c>
    </row>
    <row r="178" spans="1:7">
      <c r="A178" s="2955">
        <v>177</v>
      </c>
      <c r="B178" s="2955" t="s">
        <v>3053</v>
      </c>
      <c r="C178" s="2955" t="s">
        <v>3054</v>
      </c>
      <c r="D178" s="2955" t="s">
        <v>3194</v>
      </c>
      <c r="E178" s="2955">
        <v>125.29</v>
      </c>
      <c r="F178" s="3169">
        <v>2523967</v>
      </c>
      <c r="G178" s="3252">
        <f t="shared" si="2"/>
        <v>20144.99960092585</v>
      </c>
    </row>
    <row r="179" spans="1:7">
      <c r="A179" s="2955">
        <v>178</v>
      </c>
      <c r="B179" s="2955" t="s">
        <v>3053</v>
      </c>
      <c r="C179" s="2955" t="s">
        <v>3054</v>
      </c>
      <c r="D179" s="2955" t="s">
        <v>3195</v>
      </c>
      <c r="E179" s="2955">
        <v>99.53</v>
      </c>
      <c r="F179" s="3169">
        <v>2114515</v>
      </c>
      <c r="G179" s="3252">
        <f t="shared" si="2"/>
        <v>21245.001507083292</v>
      </c>
    </row>
    <row r="180" spans="1:7">
      <c r="A180" s="2955">
        <v>179</v>
      </c>
      <c r="B180" s="2955" t="s">
        <v>3053</v>
      </c>
      <c r="C180" s="2955" t="s">
        <v>3054</v>
      </c>
      <c r="D180" s="2955" t="s">
        <v>3196</v>
      </c>
      <c r="E180" s="2955">
        <v>120.33</v>
      </c>
      <c r="F180" s="3169">
        <v>2412015</v>
      </c>
      <c r="G180" s="3252">
        <f t="shared" si="2"/>
        <v>20045.001246571926</v>
      </c>
    </row>
    <row r="181" spans="1:7">
      <c r="A181" s="2955">
        <v>180</v>
      </c>
      <c r="B181" s="2955" t="s">
        <v>3053</v>
      </c>
      <c r="C181" s="2955" t="s">
        <v>3054</v>
      </c>
      <c r="D181" s="2955" t="s">
        <v>3197</v>
      </c>
      <c r="E181" s="2955">
        <v>125.29</v>
      </c>
      <c r="F181" s="3169">
        <v>2511438</v>
      </c>
      <c r="G181" s="3252">
        <f t="shared" si="2"/>
        <v>20044.99960092585</v>
      </c>
    </row>
    <row r="182" spans="1:7">
      <c r="A182" s="2955">
        <v>181</v>
      </c>
      <c r="B182" s="2955" t="s">
        <v>3053</v>
      </c>
      <c r="C182" s="2955" t="s">
        <v>3054</v>
      </c>
      <c r="D182" s="2955" t="s">
        <v>3198</v>
      </c>
      <c r="E182" s="2955">
        <v>123.53</v>
      </c>
      <c r="F182" s="3169">
        <v>2614512</v>
      </c>
      <c r="G182" s="3252">
        <f t="shared" si="2"/>
        <v>21164.996357160202</v>
      </c>
    </row>
    <row r="183" spans="1:7">
      <c r="A183" s="2955">
        <v>182</v>
      </c>
      <c r="B183" s="2955" t="s">
        <v>3053</v>
      </c>
      <c r="C183" s="2955" t="s">
        <v>3054</v>
      </c>
      <c r="D183" s="2955" t="s">
        <v>3199</v>
      </c>
      <c r="E183" s="2955">
        <v>125.29</v>
      </c>
      <c r="F183" s="3169">
        <v>2586612</v>
      </c>
      <c r="G183" s="3252">
        <f t="shared" si="2"/>
        <v>20644.99960092585</v>
      </c>
    </row>
    <row r="184" spans="1:7">
      <c r="A184" s="2955">
        <v>183</v>
      </c>
      <c r="B184" s="2955" t="s">
        <v>3053</v>
      </c>
      <c r="C184" s="2955" t="s">
        <v>3054</v>
      </c>
      <c r="D184" s="2955" t="s">
        <v>3200</v>
      </c>
      <c r="E184" s="2955">
        <v>125.29</v>
      </c>
      <c r="F184" s="3169">
        <v>2539002</v>
      </c>
      <c r="G184" s="3252">
        <f t="shared" si="2"/>
        <v>20265.001197222442</v>
      </c>
    </row>
    <row r="185" spans="1:7">
      <c r="A185" s="2955">
        <v>184</v>
      </c>
      <c r="B185" s="2955" t="s">
        <v>3053</v>
      </c>
      <c r="C185" s="2955" t="s">
        <v>3054</v>
      </c>
      <c r="D185" s="2955" t="s">
        <v>3201</v>
      </c>
      <c r="E185" s="2955">
        <v>125.29</v>
      </c>
      <c r="F185" s="3169">
        <v>2546519</v>
      </c>
      <c r="G185" s="3252">
        <f t="shared" si="2"/>
        <v>20324.998004629259</v>
      </c>
    </row>
    <row r="186" spans="1:7">
      <c r="A186" s="2955">
        <v>185</v>
      </c>
      <c r="B186" s="2955" t="s">
        <v>3053</v>
      </c>
      <c r="C186" s="2955" t="s">
        <v>3054</v>
      </c>
      <c r="D186" s="2955" t="s">
        <v>3202</v>
      </c>
      <c r="E186" s="2955">
        <v>99.53</v>
      </c>
      <c r="F186" s="3169">
        <v>2116505</v>
      </c>
      <c r="G186" s="3252">
        <f t="shared" si="2"/>
        <v>21264.995478750126</v>
      </c>
    </row>
    <row r="187" spans="1:7">
      <c r="A187" s="2955">
        <v>186</v>
      </c>
      <c r="B187" s="2955" t="s">
        <v>3053</v>
      </c>
      <c r="C187" s="2955" t="s">
        <v>3054</v>
      </c>
      <c r="D187" s="2955" t="s">
        <v>3203</v>
      </c>
      <c r="E187" s="2955">
        <v>99.55</v>
      </c>
      <c r="F187" s="3169">
        <v>2184625</v>
      </c>
      <c r="G187" s="3252">
        <f t="shared" si="2"/>
        <v>21945.002511300856</v>
      </c>
    </row>
    <row r="188" spans="1:7">
      <c r="A188" s="2955">
        <v>187</v>
      </c>
      <c r="B188" s="2955" t="s">
        <v>3053</v>
      </c>
      <c r="C188" s="2955" t="s">
        <v>3054</v>
      </c>
      <c r="D188" s="2955" t="s">
        <v>3204</v>
      </c>
      <c r="E188" s="2955">
        <v>125.29</v>
      </c>
      <c r="F188" s="3169">
        <v>2561554</v>
      </c>
      <c r="G188" s="3252">
        <f t="shared" si="2"/>
        <v>20444.99960092585</v>
      </c>
    </row>
    <row r="189" spans="1:7">
      <c r="A189" s="2955">
        <v>188</v>
      </c>
      <c r="B189" s="2955" t="s">
        <v>3053</v>
      </c>
      <c r="C189" s="2955" t="s">
        <v>3054</v>
      </c>
      <c r="D189" s="2955" t="s">
        <v>3205</v>
      </c>
      <c r="E189" s="2955">
        <v>125.29</v>
      </c>
      <c r="F189" s="3169">
        <v>2549025</v>
      </c>
      <c r="G189" s="3252">
        <f t="shared" si="2"/>
        <v>20344.99960092585</v>
      </c>
    </row>
    <row r="190" spans="1:7">
      <c r="A190" s="2955">
        <v>189</v>
      </c>
      <c r="B190" s="2955" t="s">
        <v>3053</v>
      </c>
      <c r="C190" s="2955" t="s">
        <v>3054</v>
      </c>
      <c r="D190" s="2955" t="s">
        <v>3206</v>
      </c>
      <c r="E190" s="2955">
        <v>125.29</v>
      </c>
      <c r="F190" s="3169">
        <v>2574083</v>
      </c>
      <c r="G190" s="3252">
        <f t="shared" si="2"/>
        <v>20544.99960092585</v>
      </c>
    </row>
    <row r="191" spans="1:7">
      <c r="A191" s="2955">
        <v>190</v>
      </c>
      <c r="B191" s="2955" t="s">
        <v>3053</v>
      </c>
      <c r="C191" s="2955" t="s">
        <v>3054</v>
      </c>
      <c r="D191" s="2955" t="s">
        <v>3207</v>
      </c>
      <c r="E191" s="2955">
        <v>125.29</v>
      </c>
      <c r="F191" s="3169">
        <v>2536496</v>
      </c>
      <c r="G191" s="3252">
        <f t="shared" si="2"/>
        <v>20244.99960092585</v>
      </c>
    </row>
    <row r="192" spans="1:7">
      <c r="A192" s="2955">
        <v>191</v>
      </c>
      <c r="B192" s="2955" t="s">
        <v>3053</v>
      </c>
      <c r="C192" s="2955" t="s">
        <v>3054</v>
      </c>
      <c r="D192" s="2955" t="s">
        <v>3208</v>
      </c>
      <c r="E192" s="2955">
        <v>99.55</v>
      </c>
      <c r="F192" s="3169">
        <v>2005435</v>
      </c>
      <c r="G192" s="3252">
        <f t="shared" si="2"/>
        <v>20145.002511300856</v>
      </c>
    </row>
    <row r="193" spans="1:7">
      <c r="A193" s="2955">
        <v>192</v>
      </c>
      <c r="B193" s="2955" t="s">
        <v>3053</v>
      </c>
      <c r="C193" s="2955" t="s">
        <v>3054</v>
      </c>
      <c r="D193" s="2955" t="s">
        <v>3209</v>
      </c>
      <c r="E193" s="2955">
        <v>99.53</v>
      </c>
      <c r="F193" s="3169">
        <v>1955267</v>
      </c>
      <c r="G193" s="3252">
        <f t="shared" si="2"/>
        <v>19645.001507083292</v>
      </c>
    </row>
    <row r="194" spans="1:7">
      <c r="A194" s="2955">
        <v>193</v>
      </c>
      <c r="B194" s="2955" t="s">
        <v>3053</v>
      </c>
      <c r="C194" s="2955" t="s">
        <v>3054</v>
      </c>
      <c r="D194" s="2955" t="s">
        <v>3210</v>
      </c>
      <c r="E194" s="2955">
        <v>99.53</v>
      </c>
      <c r="F194" s="3169">
        <v>1965220</v>
      </c>
      <c r="G194" s="3252">
        <f t="shared" si="2"/>
        <v>19745.001507083292</v>
      </c>
    </row>
    <row r="195" spans="1:7">
      <c r="A195" s="2955">
        <v>194</v>
      </c>
      <c r="B195" s="2955" t="s">
        <v>3053</v>
      </c>
      <c r="C195" s="2955" t="s">
        <v>3054</v>
      </c>
      <c r="D195" s="2955" t="s">
        <v>3211</v>
      </c>
      <c r="E195" s="2955">
        <v>123.53</v>
      </c>
      <c r="F195" s="3169">
        <v>2402041</v>
      </c>
      <c r="G195" s="3252">
        <f t="shared" ref="G195:G258" si="3">F195/E195</f>
        <v>19445.001214279931</v>
      </c>
    </row>
    <row r="196" spans="1:7">
      <c r="A196" s="2955">
        <v>195</v>
      </c>
      <c r="B196" s="2955" t="s">
        <v>3053</v>
      </c>
      <c r="C196" s="2955" t="s">
        <v>3054</v>
      </c>
      <c r="D196" s="2955" t="s">
        <v>3212</v>
      </c>
      <c r="E196" s="2955">
        <v>97.85</v>
      </c>
      <c r="F196" s="3169">
        <v>2020113</v>
      </c>
      <c r="G196" s="3252">
        <f t="shared" si="3"/>
        <v>20644.997445068984</v>
      </c>
    </row>
    <row r="197" spans="1:7">
      <c r="A197" s="2955">
        <v>196</v>
      </c>
      <c r="B197" s="2955" t="s">
        <v>3053</v>
      </c>
      <c r="C197" s="2955" t="s">
        <v>3054</v>
      </c>
      <c r="D197" s="2955" t="s">
        <v>3213</v>
      </c>
      <c r="E197" s="2955">
        <v>125.31</v>
      </c>
      <c r="F197" s="3169">
        <v>2677248</v>
      </c>
      <c r="G197" s="3252">
        <f t="shared" si="3"/>
        <v>21364.998802968636</v>
      </c>
    </row>
    <row r="198" spans="1:7">
      <c r="A198" s="2955">
        <v>197</v>
      </c>
      <c r="B198" s="2955" t="s">
        <v>3053</v>
      </c>
      <c r="C198" s="2955" t="s">
        <v>3054</v>
      </c>
      <c r="D198" s="2955" t="s">
        <v>3214</v>
      </c>
      <c r="E198" s="2955">
        <v>99.55</v>
      </c>
      <c r="F198" s="3169">
        <v>2154760</v>
      </c>
      <c r="G198" s="3252">
        <f t="shared" si="3"/>
        <v>21645.002511300856</v>
      </c>
    </row>
    <row r="199" spans="1:7">
      <c r="A199" s="2955">
        <v>198</v>
      </c>
      <c r="B199" s="2955" t="s">
        <v>3053</v>
      </c>
      <c r="C199" s="2955" t="s">
        <v>3054</v>
      </c>
      <c r="D199" s="2955" t="s">
        <v>3215</v>
      </c>
      <c r="E199" s="2955">
        <v>99.53</v>
      </c>
      <c r="F199" s="3169">
        <v>2114515</v>
      </c>
      <c r="G199" s="3252">
        <f t="shared" si="3"/>
        <v>21245.001507083292</v>
      </c>
    </row>
    <row r="200" spans="1:7">
      <c r="A200" s="2955">
        <v>199</v>
      </c>
      <c r="B200" s="2955" t="s">
        <v>3053</v>
      </c>
      <c r="C200" s="2955" t="s">
        <v>3054</v>
      </c>
      <c r="D200" s="2955" t="s">
        <v>3216</v>
      </c>
      <c r="E200" s="2955">
        <v>123.53</v>
      </c>
      <c r="F200" s="3169">
        <v>2562630</v>
      </c>
      <c r="G200" s="3252">
        <f t="shared" si="3"/>
        <v>20745.001214279931</v>
      </c>
    </row>
    <row r="201" spans="1:7">
      <c r="A201" s="2955">
        <v>200</v>
      </c>
      <c r="B201" s="2955" t="s">
        <v>3053</v>
      </c>
      <c r="C201" s="2955" t="s">
        <v>3054</v>
      </c>
      <c r="D201" s="2955" t="s">
        <v>3217</v>
      </c>
      <c r="E201" s="2955">
        <v>125.29</v>
      </c>
      <c r="F201" s="3169">
        <v>2531484</v>
      </c>
      <c r="G201" s="3252">
        <f t="shared" si="3"/>
        <v>20204.996408332667</v>
      </c>
    </row>
    <row r="202" spans="1:7">
      <c r="A202" s="2955">
        <v>201</v>
      </c>
      <c r="B202" s="2955" t="s">
        <v>3053</v>
      </c>
      <c r="C202" s="2955" t="s">
        <v>3054</v>
      </c>
      <c r="D202" s="2955" t="s">
        <v>3218</v>
      </c>
      <c r="E202" s="2955">
        <v>120.35</v>
      </c>
      <c r="F202" s="3169">
        <v>2424451</v>
      </c>
      <c r="G202" s="3252">
        <f t="shared" si="3"/>
        <v>20145.002077274617</v>
      </c>
    </row>
    <row r="203" spans="1:7">
      <c r="A203" s="2955">
        <v>202</v>
      </c>
      <c r="B203" s="2955" t="s">
        <v>3053</v>
      </c>
      <c r="C203" s="2955" t="s">
        <v>3054</v>
      </c>
      <c r="D203" s="2955" t="s">
        <v>3219</v>
      </c>
      <c r="E203" s="2955">
        <v>99.55</v>
      </c>
      <c r="F203" s="3169">
        <v>2136841</v>
      </c>
      <c r="G203" s="3252">
        <f t="shared" si="3"/>
        <v>21465.002511300856</v>
      </c>
    </row>
    <row r="204" spans="1:7">
      <c r="A204" s="2955">
        <v>203</v>
      </c>
      <c r="B204" s="2955" t="s">
        <v>3053</v>
      </c>
      <c r="C204" s="2955" t="s">
        <v>3054</v>
      </c>
      <c r="D204" s="2955" t="s">
        <v>3220</v>
      </c>
      <c r="E204" s="2955">
        <v>99.55</v>
      </c>
      <c r="F204" s="3169">
        <v>1995480</v>
      </c>
      <c r="G204" s="3252">
        <f t="shared" si="3"/>
        <v>20045.002511300856</v>
      </c>
    </row>
    <row r="205" spans="1:7">
      <c r="A205" s="2955">
        <v>204</v>
      </c>
      <c r="B205" s="2955" t="s">
        <v>3053</v>
      </c>
      <c r="C205" s="2955" t="s">
        <v>3054</v>
      </c>
      <c r="D205" s="2955" t="s">
        <v>3221</v>
      </c>
      <c r="E205" s="2955">
        <v>99.53</v>
      </c>
      <c r="F205" s="3169">
        <v>2116505</v>
      </c>
      <c r="G205" s="3252">
        <f t="shared" si="3"/>
        <v>21264.995478750126</v>
      </c>
    </row>
    <row r="206" spans="1:7">
      <c r="A206" s="2955">
        <v>205</v>
      </c>
      <c r="B206" s="2955" t="s">
        <v>3053</v>
      </c>
      <c r="C206" s="2955" t="s">
        <v>3054</v>
      </c>
      <c r="D206" s="2955" t="s">
        <v>3222</v>
      </c>
      <c r="E206" s="2955">
        <v>123.53</v>
      </c>
      <c r="F206" s="3169">
        <v>2612042</v>
      </c>
      <c r="G206" s="3252">
        <f t="shared" si="3"/>
        <v>21145.001214279931</v>
      </c>
    </row>
    <row r="207" spans="1:7">
      <c r="A207" s="2955">
        <v>206</v>
      </c>
      <c r="B207" s="2955" t="s">
        <v>3053</v>
      </c>
      <c r="C207" s="2955" t="s">
        <v>3054</v>
      </c>
      <c r="D207" s="2955" t="s">
        <v>3223</v>
      </c>
      <c r="E207" s="2955">
        <v>123.51</v>
      </c>
      <c r="F207" s="3169">
        <v>2554804</v>
      </c>
      <c r="G207" s="3252">
        <f t="shared" si="3"/>
        <v>20684.997166221357</v>
      </c>
    </row>
    <row r="208" spans="1:7">
      <c r="A208" s="2955">
        <v>207</v>
      </c>
      <c r="B208" s="2955" t="s">
        <v>3053</v>
      </c>
      <c r="C208" s="2955" t="s">
        <v>3054</v>
      </c>
      <c r="D208" s="2955" t="s">
        <v>3224</v>
      </c>
      <c r="E208" s="2955">
        <v>123.51</v>
      </c>
      <c r="F208" s="3169">
        <v>2376950</v>
      </c>
      <c r="G208" s="3252">
        <f t="shared" si="3"/>
        <v>19245.000404825518</v>
      </c>
    </row>
    <row r="209" spans="1:7">
      <c r="A209" s="2955">
        <v>208</v>
      </c>
      <c r="B209" s="2955" t="s">
        <v>3053</v>
      </c>
      <c r="C209" s="2955" t="s">
        <v>3054</v>
      </c>
      <c r="D209" s="2955" t="s">
        <v>3225</v>
      </c>
      <c r="E209" s="2955">
        <v>125.29</v>
      </c>
      <c r="F209" s="3169">
        <v>2586612</v>
      </c>
      <c r="G209" s="3252">
        <f t="shared" si="3"/>
        <v>20644.99960092585</v>
      </c>
    </row>
    <row r="210" spans="1:7">
      <c r="A210" s="2955">
        <v>209</v>
      </c>
      <c r="B210" s="2955" t="s">
        <v>3053</v>
      </c>
      <c r="C210" s="2955" t="s">
        <v>3054</v>
      </c>
      <c r="D210" s="2955" t="s">
        <v>3226</v>
      </c>
      <c r="E210" s="2955">
        <v>99.53</v>
      </c>
      <c r="F210" s="3169">
        <v>2114515</v>
      </c>
      <c r="G210" s="3252">
        <f t="shared" si="3"/>
        <v>21245.001507083292</v>
      </c>
    </row>
    <row r="211" spans="1:7">
      <c r="A211" s="2955">
        <v>210</v>
      </c>
      <c r="B211" s="2955" t="s">
        <v>3053</v>
      </c>
      <c r="C211" s="2955" t="s">
        <v>3054</v>
      </c>
      <c r="D211" s="2955" t="s">
        <v>3227</v>
      </c>
      <c r="E211" s="2955">
        <v>97.87</v>
      </c>
      <c r="F211" s="3169">
        <v>2030313</v>
      </c>
      <c r="G211" s="3252">
        <f t="shared" si="3"/>
        <v>20744.998467354653</v>
      </c>
    </row>
    <row r="212" spans="1:7">
      <c r="A212" s="2955">
        <v>211</v>
      </c>
      <c r="B212" s="2955" t="s">
        <v>3053</v>
      </c>
      <c r="C212" s="2955" t="s">
        <v>3054</v>
      </c>
      <c r="D212" s="2955" t="s">
        <v>3228</v>
      </c>
      <c r="E212" s="2955">
        <v>97.85</v>
      </c>
      <c r="F212" s="3169">
        <v>2010328</v>
      </c>
      <c r="G212" s="3252">
        <f t="shared" si="3"/>
        <v>20544.997445068984</v>
      </c>
    </row>
    <row r="213" spans="1:7">
      <c r="A213" s="2955">
        <v>212</v>
      </c>
      <c r="B213" s="2955" t="s">
        <v>3053</v>
      </c>
      <c r="C213" s="2955" t="s">
        <v>3054</v>
      </c>
      <c r="D213" s="2955" t="s">
        <v>3229</v>
      </c>
      <c r="E213" s="2955">
        <v>97.87</v>
      </c>
      <c r="F213" s="3169">
        <v>2059674</v>
      </c>
      <c r="G213" s="3252">
        <f t="shared" si="3"/>
        <v>21044.998467354653</v>
      </c>
    </row>
    <row r="214" spans="1:7">
      <c r="A214" s="2955">
        <v>213</v>
      </c>
      <c r="B214" s="2955" t="s">
        <v>3053</v>
      </c>
      <c r="C214" s="2955" t="s">
        <v>3054</v>
      </c>
      <c r="D214" s="2955" t="s">
        <v>3230</v>
      </c>
      <c r="E214" s="2955">
        <v>125.29</v>
      </c>
      <c r="F214" s="3169">
        <v>2373619</v>
      </c>
      <c r="G214" s="3252">
        <f t="shared" si="3"/>
        <v>18944.99960092585</v>
      </c>
    </row>
    <row r="215" spans="1:7">
      <c r="A215" s="2955">
        <v>214</v>
      </c>
      <c r="B215" s="2955" t="s">
        <v>3053</v>
      </c>
      <c r="C215" s="2955" t="s">
        <v>3054</v>
      </c>
      <c r="D215" s="2955" t="s">
        <v>3231</v>
      </c>
      <c r="E215" s="2955">
        <v>125.31</v>
      </c>
      <c r="F215" s="3169">
        <v>2461715</v>
      </c>
      <c r="G215" s="3252">
        <f t="shared" si="3"/>
        <v>19645.000399010452</v>
      </c>
    </row>
    <row r="216" spans="1:7">
      <c r="A216" s="2955">
        <v>215</v>
      </c>
      <c r="B216" s="2955" t="s">
        <v>3053</v>
      </c>
      <c r="C216" s="2955" t="s">
        <v>3054</v>
      </c>
      <c r="D216" s="2955" t="s">
        <v>3232</v>
      </c>
      <c r="E216" s="2955">
        <v>99.53</v>
      </c>
      <c r="F216" s="3169">
        <v>2094609</v>
      </c>
      <c r="G216" s="3252">
        <f t="shared" si="3"/>
        <v>21045.001507083292</v>
      </c>
    </row>
    <row r="217" spans="1:7">
      <c r="A217" s="2955">
        <v>216</v>
      </c>
      <c r="B217" s="2955" t="s">
        <v>3053</v>
      </c>
      <c r="C217" s="2955" t="s">
        <v>3054</v>
      </c>
      <c r="D217" s="2955" t="s">
        <v>3233</v>
      </c>
      <c r="E217" s="2955">
        <v>99.39</v>
      </c>
      <c r="F217" s="3169">
        <v>1998276</v>
      </c>
      <c r="G217" s="3252">
        <f t="shared" si="3"/>
        <v>20105.402958044069</v>
      </c>
    </row>
    <row r="218" spans="1:7">
      <c r="A218" s="2955">
        <v>217</v>
      </c>
      <c r="B218" s="2955" t="s">
        <v>3053</v>
      </c>
      <c r="C218" s="2955" t="s">
        <v>3054</v>
      </c>
      <c r="D218" s="2955" t="s">
        <v>3234</v>
      </c>
      <c r="E218" s="2955">
        <v>99.39</v>
      </c>
      <c r="F218" s="3169">
        <v>2077788</v>
      </c>
      <c r="G218" s="3252">
        <f t="shared" si="3"/>
        <v>20905.402958044069</v>
      </c>
    </row>
    <row r="219" spans="1:7">
      <c r="A219" s="2955">
        <v>218</v>
      </c>
      <c r="B219" s="2955" t="s">
        <v>3053</v>
      </c>
      <c r="C219" s="2955" t="s">
        <v>3054</v>
      </c>
      <c r="D219" s="2955" t="s">
        <v>3235</v>
      </c>
      <c r="E219" s="2955">
        <v>123.34</v>
      </c>
      <c r="F219" s="3169">
        <v>2511868</v>
      </c>
      <c r="G219" s="3252">
        <f t="shared" si="3"/>
        <v>20365.396465055943</v>
      </c>
    </row>
    <row r="220" spans="1:7">
      <c r="A220" s="2955">
        <v>219</v>
      </c>
      <c r="B220" s="2955" t="s">
        <v>3053</v>
      </c>
      <c r="C220" s="2955" t="s">
        <v>3054</v>
      </c>
      <c r="D220" s="2955" t="s">
        <v>3236</v>
      </c>
      <c r="E220" s="2955">
        <v>99.39</v>
      </c>
      <c r="F220" s="3169">
        <v>2047971</v>
      </c>
      <c r="G220" s="3252">
        <f t="shared" si="3"/>
        <v>20605.402958044069</v>
      </c>
    </row>
    <row r="221" spans="1:7">
      <c r="A221" s="2955">
        <v>220</v>
      </c>
      <c r="B221" s="2955" t="s">
        <v>3053</v>
      </c>
      <c r="C221" s="2955" t="s">
        <v>3054</v>
      </c>
      <c r="D221" s="2955" t="s">
        <v>3237</v>
      </c>
      <c r="E221" s="2955">
        <v>99.39</v>
      </c>
      <c r="F221" s="3169">
        <v>2042007</v>
      </c>
      <c r="G221" s="3252">
        <f t="shared" si="3"/>
        <v>20545.396921219439</v>
      </c>
    </row>
    <row r="222" spans="1:7">
      <c r="A222" s="2955">
        <v>221</v>
      </c>
      <c r="B222" s="2955" t="s">
        <v>3053</v>
      </c>
      <c r="C222" s="2955" t="s">
        <v>3054</v>
      </c>
      <c r="D222" s="2955" t="s">
        <v>3238</v>
      </c>
      <c r="E222" s="2955">
        <v>125.12</v>
      </c>
      <c r="F222" s="3169">
        <v>2548119</v>
      </c>
      <c r="G222" s="3252">
        <f t="shared" si="3"/>
        <v>20365.401214833761</v>
      </c>
    </row>
    <row r="223" spans="1:7">
      <c r="A223" s="2955">
        <v>222</v>
      </c>
      <c r="B223" s="2955" t="s">
        <v>3053</v>
      </c>
      <c r="C223" s="2955" t="s">
        <v>3054</v>
      </c>
      <c r="D223" s="2955" t="s">
        <v>3239</v>
      </c>
      <c r="E223" s="2955">
        <v>123.34</v>
      </c>
      <c r="F223" s="3169">
        <v>2566138</v>
      </c>
      <c r="G223" s="3252">
        <f t="shared" si="3"/>
        <v>20805.399708123885</v>
      </c>
    </row>
    <row r="224" spans="1:7">
      <c r="A224" s="2955">
        <v>223</v>
      </c>
      <c r="B224" s="2955" t="s">
        <v>3053</v>
      </c>
      <c r="C224" s="2955" t="s">
        <v>3054</v>
      </c>
      <c r="D224" s="2955" t="s">
        <v>3240</v>
      </c>
      <c r="E224" s="2955">
        <v>99.39</v>
      </c>
      <c r="F224" s="3169">
        <v>2067849</v>
      </c>
      <c r="G224" s="3252">
        <f t="shared" si="3"/>
        <v>20805.402958044069</v>
      </c>
    </row>
    <row r="225" spans="1:7">
      <c r="A225" s="2955">
        <v>224</v>
      </c>
      <c r="B225" s="2955" t="s">
        <v>3053</v>
      </c>
      <c r="C225" s="2955" t="s">
        <v>3054</v>
      </c>
      <c r="D225" s="2955" t="s">
        <v>3241</v>
      </c>
      <c r="E225" s="2955">
        <v>99.39</v>
      </c>
      <c r="F225" s="3169">
        <v>2021587</v>
      </c>
      <c r="G225" s="3252">
        <f t="shared" si="3"/>
        <v>20339.943656303451</v>
      </c>
    </row>
    <row r="226" spans="1:7">
      <c r="A226" s="2955">
        <v>225</v>
      </c>
      <c r="B226" s="2955" t="s">
        <v>3053</v>
      </c>
      <c r="C226" s="2955" t="s">
        <v>3054</v>
      </c>
      <c r="D226" s="2955" t="s">
        <v>3242</v>
      </c>
      <c r="E226" s="2955">
        <v>123.34</v>
      </c>
      <c r="F226" s="3169">
        <v>2541470</v>
      </c>
      <c r="G226" s="3252">
        <f t="shared" si="3"/>
        <v>20605.399708123885</v>
      </c>
    </row>
    <row r="227" spans="1:7">
      <c r="A227" s="2955">
        <v>226</v>
      </c>
      <c r="B227" s="2955" t="s">
        <v>3053</v>
      </c>
      <c r="C227" s="2955" t="s">
        <v>3054</v>
      </c>
      <c r="D227" s="2955" t="s">
        <v>3243</v>
      </c>
      <c r="E227" s="2955">
        <v>125.12</v>
      </c>
      <c r="F227" s="3169">
        <v>2528100</v>
      </c>
      <c r="G227" s="3252">
        <f t="shared" si="3"/>
        <v>20205.402813299232</v>
      </c>
    </row>
    <row r="228" spans="1:7">
      <c r="A228" s="2955">
        <v>227</v>
      </c>
      <c r="B228" s="2955" t="s">
        <v>3053</v>
      </c>
      <c r="C228" s="2955" t="s">
        <v>3054</v>
      </c>
      <c r="D228" s="2955" t="s">
        <v>3244</v>
      </c>
      <c r="E228" s="2955">
        <v>125.12</v>
      </c>
      <c r="F228" s="3169">
        <v>2615684</v>
      </c>
      <c r="G228" s="3252">
        <f t="shared" si="3"/>
        <v>20905.402813299232</v>
      </c>
    </row>
    <row r="229" spans="1:7">
      <c r="A229" s="2955">
        <v>228</v>
      </c>
      <c r="B229" s="2955" t="s">
        <v>3053</v>
      </c>
      <c r="C229" s="2955" t="s">
        <v>3054</v>
      </c>
      <c r="D229" s="2955" t="s">
        <v>3245</v>
      </c>
      <c r="E229" s="2955">
        <v>125.12</v>
      </c>
      <c r="F229" s="3169">
        <v>2570640</v>
      </c>
      <c r="G229" s="3252">
        <f t="shared" si="3"/>
        <v>20545.39641943734</v>
      </c>
    </row>
    <row r="230" spans="1:7">
      <c r="A230" s="2955">
        <v>229</v>
      </c>
      <c r="B230" s="2955" t="s">
        <v>3053</v>
      </c>
      <c r="C230" s="2955" t="s">
        <v>3054</v>
      </c>
      <c r="D230" s="2955" t="s">
        <v>3246</v>
      </c>
      <c r="E230" s="2955">
        <v>123.34</v>
      </c>
      <c r="F230" s="3169">
        <v>2540477</v>
      </c>
      <c r="G230" s="3252">
        <f t="shared" si="3"/>
        <v>20597.348791957193</v>
      </c>
    </row>
    <row r="231" spans="1:7">
      <c r="A231" s="2955">
        <v>230</v>
      </c>
      <c r="B231" s="2955" t="s">
        <v>3053</v>
      </c>
      <c r="C231" s="2955" t="s">
        <v>3054</v>
      </c>
      <c r="D231" s="2955" t="s">
        <v>3247</v>
      </c>
      <c r="E231" s="2955">
        <v>125.12</v>
      </c>
      <c r="F231" s="3169">
        <v>2593162</v>
      </c>
      <c r="G231" s="3252">
        <f t="shared" si="3"/>
        <v>20725.399616368286</v>
      </c>
    </row>
    <row r="232" spans="1:7">
      <c r="A232" s="2955">
        <v>231</v>
      </c>
      <c r="B232" s="2955" t="s">
        <v>3053</v>
      </c>
      <c r="C232" s="2955" t="s">
        <v>3054</v>
      </c>
      <c r="D232" s="2955" t="s">
        <v>3248</v>
      </c>
      <c r="E232" s="2955">
        <v>99.39</v>
      </c>
      <c r="F232" s="3169">
        <v>2077788</v>
      </c>
      <c r="G232" s="3252">
        <f t="shared" si="3"/>
        <v>20905.402958044069</v>
      </c>
    </row>
    <row r="233" spans="1:7">
      <c r="A233" s="2955">
        <v>232</v>
      </c>
      <c r="B233" s="2955" t="s">
        <v>3053</v>
      </c>
      <c r="C233" s="2955" t="s">
        <v>3054</v>
      </c>
      <c r="D233" s="2955" t="s">
        <v>3249</v>
      </c>
      <c r="E233" s="2955">
        <v>99.39</v>
      </c>
      <c r="F233" s="3169">
        <v>2047971</v>
      </c>
      <c r="G233" s="3252">
        <f t="shared" si="3"/>
        <v>20605.402958044069</v>
      </c>
    </row>
    <row r="234" spans="1:7">
      <c r="A234" s="2955">
        <v>233</v>
      </c>
      <c r="B234" s="2955" t="s">
        <v>3053</v>
      </c>
      <c r="C234" s="2955" t="s">
        <v>3054</v>
      </c>
      <c r="D234" s="2955" t="s">
        <v>3250</v>
      </c>
      <c r="E234" s="2955">
        <v>99.39</v>
      </c>
      <c r="F234" s="3169">
        <v>2059898</v>
      </c>
      <c r="G234" s="3252">
        <f t="shared" si="3"/>
        <v>20725.404970318945</v>
      </c>
    </row>
    <row r="235" spans="1:7">
      <c r="A235" s="2955">
        <v>234</v>
      </c>
      <c r="B235" s="2955" t="s">
        <v>3053</v>
      </c>
      <c r="C235" s="2955" t="s">
        <v>3054</v>
      </c>
      <c r="D235" s="2955" t="s">
        <v>3251</v>
      </c>
      <c r="E235" s="2955">
        <v>99.39</v>
      </c>
      <c r="F235" s="3169">
        <v>2030081</v>
      </c>
      <c r="G235" s="3252">
        <f t="shared" si="3"/>
        <v>20425.404970318945</v>
      </c>
    </row>
    <row r="236" spans="1:7">
      <c r="A236" s="2955">
        <v>235</v>
      </c>
      <c r="B236" s="2955" t="s">
        <v>3016</v>
      </c>
      <c r="C236" s="2955" t="s">
        <v>3014</v>
      </c>
      <c r="D236" s="2955" t="s">
        <v>3252</v>
      </c>
      <c r="E236" s="2955">
        <v>99.39</v>
      </c>
      <c r="F236" s="3169">
        <v>2077788</v>
      </c>
      <c r="G236" s="3252">
        <f t="shared" si="3"/>
        <v>20905.402958044069</v>
      </c>
    </row>
    <row r="237" spans="1:7">
      <c r="A237" s="2955">
        <v>236</v>
      </c>
      <c r="B237" s="2955" t="s">
        <v>3016</v>
      </c>
      <c r="C237" s="2955" t="s">
        <v>3014</v>
      </c>
      <c r="D237" s="2955" t="s">
        <v>3253</v>
      </c>
      <c r="E237" s="2955">
        <v>125.12</v>
      </c>
      <c r="F237" s="3169">
        <v>2589528</v>
      </c>
      <c r="G237" s="3252">
        <f t="shared" si="3"/>
        <v>20696.355498721226</v>
      </c>
    </row>
    <row r="238" spans="1:7">
      <c r="A238" s="2955">
        <v>237</v>
      </c>
      <c r="B238" s="2955" t="s">
        <v>3016</v>
      </c>
      <c r="C238" s="2955" t="s">
        <v>3014</v>
      </c>
      <c r="D238" s="2955" t="s">
        <v>3254</v>
      </c>
      <c r="E238" s="2955">
        <v>99.39</v>
      </c>
      <c r="F238" s="3169">
        <v>2047971</v>
      </c>
      <c r="G238" s="3252">
        <f t="shared" si="3"/>
        <v>20605.402958044069</v>
      </c>
    </row>
    <row r="239" spans="1:7">
      <c r="A239" s="2955">
        <v>238</v>
      </c>
      <c r="B239" s="2955" t="s">
        <v>3016</v>
      </c>
      <c r="C239" s="2955" t="s">
        <v>3014</v>
      </c>
      <c r="D239" s="2955" t="s">
        <v>3255</v>
      </c>
      <c r="E239" s="2955">
        <v>123.34</v>
      </c>
      <c r="F239" s="3169">
        <v>2534070</v>
      </c>
      <c r="G239" s="3252">
        <f t="shared" si="3"/>
        <v>20545.402951191827</v>
      </c>
    </row>
    <row r="240" spans="1:7">
      <c r="A240" s="2955">
        <v>239</v>
      </c>
      <c r="B240" s="2955" t="s">
        <v>3016</v>
      </c>
      <c r="C240" s="2955" t="s">
        <v>3014</v>
      </c>
      <c r="D240" s="2955" t="s">
        <v>3256</v>
      </c>
      <c r="E240" s="2955">
        <v>99.39</v>
      </c>
      <c r="F240" s="3169">
        <v>2059898</v>
      </c>
      <c r="G240" s="3252">
        <f t="shared" si="3"/>
        <v>20725.404970318945</v>
      </c>
    </row>
    <row r="241" spans="1:7">
      <c r="A241" s="2955">
        <v>240</v>
      </c>
      <c r="B241" s="2955" t="s">
        <v>3016</v>
      </c>
      <c r="C241" s="2955" t="s">
        <v>3014</v>
      </c>
      <c r="D241" s="2955" t="s">
        <v>3257</v>
      </c>
      <c r="E241" s="2955">
        <v>99.39</v>
      </c>
      <c r="F241" s="3169">
        <v>2036044</v>
      </c>
      <c r="G241" s="3252">
        <f t="shared" si="3"/>
        <v>20485.400945769194</v>
      </c>
    </row>
    <row r="242" spans="1:7">
      <c r="A242" s="2955">
        <v>241</v>
      </c>
      <c r="B242" s="2955" t="s">
        <v>3016</v>
      </c>
      <c r="C242" s="2955" t="s">
        <v>3014</v>
      </c>
      <c r="D242" s="2955" t="s">
        <v>3258</v>
      </c>
      <c r="E242" s="2955">
        <v>99.39</v>
      </c>
      <c r="F242" s="3169">
        <v>2024117</v>
      </c>
      <c r="G242" s="3252">
        <f t="shared" si="3"/>
        <v>20365.398933494314</v>
      </c>
    </row>
    <row r="243" spans="1:7">
      <c r="A243" s="2955">
        <v>242</v>
      </c>
      <c r="B243" s="2955" t="s">
        <v>3016</v>
      </c>
      <c r="C243" s="2955" t="s">
        <v>3014</v>
      </c>
      <c r="D243" s="2955" t="s">
        <v>3259</v>
      </c>
      <c r="E243" s="2955">
        <v>97.72</v>
      </c>
      <c r="F243" s="3169">
        <v>1964700</v>
      </c>
      <c r="G243" s="3252">
        <f t="shared" si="3"/>
        <v>20105.403192795744</v>
      </c>
    </row>
    <row r="244" spans="1:7">
      <c r="A244" s="2955">
        <v>243</v>
      </c>
      <c r="B244" s="2955" t="s">
        <v>3016</v>
      </c>
      <c r="C244" s="2955" t="s">
        <v>3014</v>
      </c>
      <c r="D244" s="2955" t="s">
        <v>3260</v>
      </c>
      <c r="E244" s="2955">
        <v>99.39</v>
      </c>
      <c r="F244" s="3169">
        <v>2024117</v>
      </c>
      <c r="G244" s="3252">
        <f t="shared" si="3"/>
        <v>20365.398933494314</v>
      </c>
    </row>
    <row r="245" spans="1:7">
      <c r="A245" s="2955">
        <v>244</v>
      </c>
      <c r="B245" s="2955" t="s">
        <v>3016</v>
      </c>
      <c r="C245" s="2955" t="s">
        <v>3014</v>
      </c>
      <c r="D245" s="2955" t="s">
        <v>3261</v>
      </c>
      <c r="E245" s="2955">
        <v>123.34</v>
      </c>
      <c r="F245" s="3169">
        <v>2494077</v>
      </c>
      <c r="G245" s="3252">
        <f t="shared" si="3"/>
        <v>20221.152910653476</v>
      </c>
    </row>
    <row r="246" spans="1:7">
      <c r="A246" s="2955">
        <v>245</v>
      </c>
      <c r="B246" s="2955" t="s">
        <v>3016</v>
      </c>
      <c r="C246" s="2955" t="s">
        <v>3014</v>
      </c>
      <c r="D246" s="2955" t="s">
        <v>3262</v>
      </c>
      <c r="E246" s="2955">
        <v>123.34</v>
      </c>
      <c r="F246" s="3169">
        <v>2504468</v>
      </c>
      <c r="G246" s="3252">
        <f t="shared" si="3"/>
        <v>20305.399708123885</v>
      </c>
    </row>
    <row r="247" spans="1:7">
      <c r="A247" s="2955">
        <v>246</v>
      </c>
      <c r="B247" s="2955" t="s">
        <v>3016</v>
      </c>
      <c r="C247" s="2955" t="s">
        <v>3014</v>
      </c>
      <c r="D247" s="2955" t="s">
        <v>3263</v>
      </c>
      <c r="E247" s="2955">
        <v>123.34</v>
      </c>
      <c r="F247" s="3169">
        <v>2578472</v>
      </c>
      <c r="G247" s="3252">
        <f t="shared" si="3"/>
        <v>20905.399708123885</v>
      </c>
    </row>
    <row r="248" spans="1:7">
      <c r="A248" s="2955">
        <v>247</v>
      </c>
      <c r="B248" s="2955" t="s">
        <v>3016</v>
      </c>
      <c r="C248" s="2955" t="s">
        <v>3014</v>
      </c>
      <c r="D248" s="2955" t="s">
        <v>3264</v>
      </c>
      <c r="E248" s="2955">
        <v>123.34</v>
      </c>
      <c r="F248" s="3169">
        <v>2578472</v>
      </c>
      <c r="G248" s="3252">
        <f t="shared" si="3"/>
        <v>20905.399708123885</v>
      </c>
    </row>
    <row r="249" spans="1:7">
      <c r="A249" s="2955">
        <v>248</v>
      </c>
      <c r="B249" s="2955" t="s">
        <v>3016</v>
      </c>
      <c r="C249" s="2955" t="s">
        <v>3014</v>
      </c>
      <c r="D249" s="2955" t="s">
        <v>3265</v>
      </c>
      <c r="E249" s="2955">
        <v>99.39</v>
      </c>
      <c r="F249" s="3169">
        <v>2018154</v>
      </c>
      <c r="G249" s="3252">
        <f t="shared" si="3"/>
        <v>20305.402958044069</v>
      </c>
    </row>
    <row r="250" spans="1:7">
      <c r="A250" s="2955">
        <v>249</v>
      </c>
      <c r="B250" s="2955" t="s">
        <v>3016</v>
      </c>
      <c r="C250" s="2955" t="s">
        <v>3014</v>
      </c>
      <c r="D250" s="2955" t="s">
        <v>3266</v>
      </c>
      <c r="E250" s="2955">
        <v>99.39</v>
      </c>
      <c r="F250" s="3169">
        <v>2053934</v>
      </c>
      <c r="G250" s="3252">
        <f t="shared" si="3"/>
        <v>20665.398933494314</v>
      </c>
    </row>
    <row r="251" spans="1:7">
      <c r="A251" s="2955">
        <v>250</v>
      </c>
      <c r="B251" s="2955" t="s">
        <v>3016</v>
      </c>
      <c r="C251" s="2955" t="s">
        <v>3014</v>
      </c>
      <c r="D251" s="2955" t="s">
        <v>3267</v>
      </c>
      <c r="E251" s="2955">
        <v>125.12</v>
      </c>
      <c r="F251" s="3169">
        <v>2603172</v>
      </c>
      <c r="G251" s="3252">
        <f t="shared" si="3"/>
        <v>20805.402813299232</v>
      </c>
    </row>
    <row r="252" spans="1:7">
      <c r="A252" s="2955">
        <v>251</v>
      </c>
      <c r="B252" s="2955" t="s">
        <v>3016</v>
      </c>
      <c r="C252" s="2955" t="s">
        <v>3014</v>
      </c>
      <c r="D252" s="2955" t="s">
        <v>3268</v>
      </c>
      <c r="E252" s="2955">
        <v>99.39</v>
      </c>
      <c r="F252" s="3169">
        <v>2038032</v>
      </c>
      <c r="G252" s="3252">
        <f t="shared" si="3"/>
        <v>20505.402958044069</v>
      </c>
    </row>
    <row r="253" spans="1:7">
      <c r="A253" s="2955">
        <v>252</v>
      </c>
      <c r="B253" s="2955" t="s">
        <v>3016</v>
      </c>
      <c r="C253" s="2955" t="s">
        <v>3014</v>
      </c>
      <c r="D253" s="2955" t="s">
        <v>3269</v>
      </c>
      <c r="E253" s="2955">
        <v>99.39</v>
      </c>
      <c r="F253" s="3169">
        <v>2036044</v>
      </c>
      <c r="G253" s="3252">
        <f t="shared" si="3"/>
        <v>20485.400945769194</v>
      </c>
    </row>
    <row r="254" spans="1:7">
      <c r="A254" s="2955">
        <v>253</v>
      </c>
      <c r="B254" s="2955" t="s">
        <v>3016</v>
      </c>
      <c r="C254" s="2955" t="s">
        <v>3014</v>
      </c>
      <c r="D254" s="2955" t="s">
        <v>3270</v>
      </c>
      <c r="E254" s="2955">
        <v>99.39</v>
      </c>
      <c r="F254" s="3169">
        <v>1989682</v>
      </c>
      <c r="G254" s="3252">
        <f t="shared" si="3"/>
        <v>20018.935506590202</v>
      </c>
    </row>
    <row r="255" spans="1:7">
      <c r="A255" s="2955">
        <v>254</v>
      </c>
      <c r="B255" s="2955" t="s">
        <v>3016</v>
      </c>
      <c r="C255" s="2955" t="s">
        <v>3014</v>
      </c>
      <c r="D255" s="2955" t="s">
        <v>3271</v>
      </c>
      <c r="E255" s="2955">
        <v>97.72</v>
      </c>
      <c r="F255" s="3169">
        <v>1964700</v>
      </c>
      <c r="G255" s="3252">
        <f t="shared" si="3"/>
        <v>20105.403192795744</v>
      </c>
    </row>
    <row r="256" spans="1:7">
      <c r="A256" s="2955">
        <v>255</v>
      </c>
      <c r="B256" s="2955" t="s">
        <v>3016</v>
      </c>
      <c r="C256" s="2955" t="s">
        <v>3014</v>
      </c>
      <c r="D256" s="2955" t="s">
        <v>3272</v>
      </c>
      <c r="E256" s="2955">
        <v>99.39</v>
      </c>
      <c r="F256" s="3169">
        <v>2038032</v>
      </c>
      <c r="G256" s="3252">
        <f t="shared" si="3"/>
        <v>20505.402958044069</v>
      </c>
    </row>
    <row r="257" spans="1:7">
      <c r="A257" s="2955">
        <v>256</v>
      </c>
      <c r="B257" s="2955" t="s">
        <v>3016</v>
      </c>
      <c r="C257" s="2955" t="s">
        <v>3014</v>
      </c>
      <c r="D257" s="2955" t="s">
        <v>3273</v>
      </c>
      <c r="E257" s="2955">
        <v>125.12</v>
      </c>
      <c r="F257" s="3169">
        <v>2540612</v>
      </c>
      <c r="G257" s="3252">
        <f t="shared" si="3"/>
        <v>20305.402813299232</v>
      </c>
    </row>
    <row r="258" spans="1:7">
      <c r="A258" s="2955">
        <v>257</v>
      </c>
      <c r="B258" s="2955" t="s">
        <v>3016</v>
      </c>
      <c r="C258" s="2955" t="s">
        <v>3014</v>
      </c>
      <c r="D258" s="2955" t="s">
        <v>3274</v>
      </c>
      <c r="E258" s="2955">
        <v>99.39</v>
      </c>
      <c r="F258" s="3169">
        <v>2077788</v>
      </c>
      <c r="G258" s="3252">
        <f t="shared" si="3"/>
        <v>20905.402958044069</v>
      </c>
    </row>
    <row r="259" spans="1:7">
      <c r="A259" s="2955">
        <v>258</v>
      </c>
      <c r="B259" s="2955" t="s">
        <v>3016</v>
      </c>
      <c r="C259" s="2955" t="s">
        <v>3014</v>
      </c>
      <c r="D259" s="2955" t="s">
        <v>3275</v>
      </c>
      <c r="E259" s="2955">
        <v>123.34</v>
      </c>
      <c r="F259" s="3169">
        <v>2548870</v>
      </c>
      <c r="G259" s="3252">
        <f t="shared" ref="G259:G322" si="4">F259/E259</f>
        <v>20665.396465055943</v>
      </c>
    </row>
    <row r="260" spans="1:7">
      <c r="A260" s="2955">
        <v>259</v>
      </c>
      <c r="B260" s="2955" t="s">
        <v>3016</v>
      </c>
      <c r="C260" s="2955" t="s">
        <v>3014</v>
      </c>
      <c r="D260" s="2955" t="s">
        <v>3276</v>
      </c>
      <c r="E260" s="2955">
        <v>99.39</v>
      </c>
      <c r="F260" s="3169">
        <v>2067849</v>
      </c>
      <c r="G260" s="3252">
        <f t="shared" si="4"/>
        <v>20805.402958044069</v>
      </c>
    </row>
    <row r="261" spans="1:7">
      <c r="A261" s="2955">
        <v>260</v>
      </c>
      <c r="B261" s="2955" t="s">
        <v>3016</v>
      </c>
      <c r="C261" s="2955" t="s">
        <v>3014</v>
      </c>
      <c r="D261" s="2955" t="s">
        <v>3277</v>
      </c>
      <c r="E261" s="2955">
        <v>123.34</v>
      </c>
      <c r="F261" s="3169">
        <v>2541470</v>
      </c>
      <c r="G261" s="3252">
        <f t="shared" si="4"/>
        <v>20605.399708123885</v>
      </c>
    </row>
    <row r="262" spans="1:7">
      <c r="A262" s="2955">
        <v>261</v>
      </c>
      <c r="B262" s="2955" t="s">
        <v>3016</v>
      </c>
      <c r="C262" s="2955" t="s">
        <v>3014</v>
      </c>
      <c r="D262" s="2955" t="s">
        <v>3278</v>
      </c>
      <c r="E262" s="2955">
        <v>99.39</v>
      </c>
      <c r="F262" s="3169">
        <v>2057910</v>
      </c>
      <c r="G262" s="3252">
        <f t="shared" si="4"/>
        <v>20705.402958044069</v>
      </c>
    </row>
    <row r="263" spans="1:7">
      <c r="A263" s="2955">
        <v>262</v>
      </c>
      <c r="B263" s="2955" t="s">
        <v>3016</v>
      </c>
      <c r="C263" s="2955" t="s">
        <v>3014</v>
      </c>
      <c r="D263" s="2955" t="s">
        <v>3279</v>
      </c>
      <c r="E263" s="2955">
        <v>99.39</v>
      </c>
      <c r="F263" s="3169">
        <v>2018154</v>
      </c>
      <c r="G263" s="3252">
        <f t="shared" si="4"/>
        <v>20305.402958044069</v>
      </c>
    </row>
    <row r="264" spans="1:7">
      <c r="A264" s="2955">
        <v>263</v>
      </c>
      <c r="B264" s="2955" t="s">
        <v>3016</v>
      </c>
      <c r="C264" s="2955" t="s">
        <v>3014</v>
      </c>
      <c r="D264" s="2955" t="s">
        <v>3280</v>
      </c>
      <c r="E264" s="2955">
        <v>99.39</v>
      </c>
      <c r="F264" s="3169">
        <v>2047971</v>
      </c>
      <c r="G264" s="3252">
        <f t="shared" si="4"/>
        <v>20605.402958044069</v>
      </c>
    </row>
    <row r="265" spans="1:7">
      <c r="A265" s="2955">
        <v>264</v>
      </c>
      <c r="B265" s="2955" t="s">
        <v>3016</v>
      </c>
      <c r="C265" s="2955" t="s">
        <v>3014</v>
      </c>
      <c r="D265" s="2955" t="s">
        <v>3281</v>
      </c>
      <c r="E265" s="2955">
        <v>99.55</v>
      </c>
      <c r="F265" s="3169">
        <v>2170728</v>
      </c>
      <c r="G265" s="3252">
        <f t="shared" si="4"/>
        <v>21805.404319437468</v>
      </c>
    </row>
    <row r="266" spans="1:7">
      <c r="A266" s="2955">
        <v>265</v>
      </c>
      <c r="B266" s="2955" t="s">
        <v>3016</v>
      </c>
      <c r="C266" s="2955" t="s">
        <v>3014</v>
      </c>
      <c r="D266" s="2955" t="s">
        <v>3282</v>
      </c>
      <c r="E266" s="2955">
        <v>125.31</v>
      </c>
      <c r="F266" s="3169">
        <v>2682311</v>
      </c>
      <c r="G266" s="3252">
        <f t="shared" si="4"/>
        <v>21405.402601548161</v>
      </c>
    </row>
    <row r="267" spans="1:7">
      <c r="A267" s="2955">
        <v>266</v>
      </c>
      <c r="B267" s="2955" t="s">
        <v>3016</v>
      </c>
      <c r="C267" s="2955" t="s">
        <v>3014</v>
      </c>
      <c r="D267" s="2955" t="s">
        <v>3283</v>
      </c>
      <c r="E267" s="2955">
        <v>99.55</v>
      </c>
      <c r="F267" s="3169">
        <v>2170728</v>
      </c>
      <c r="G267" s="3252">
        <f t="shared" si="4"/>
        <v>21805.404319437468</v>
      </c>
    </row>
    <row r="268" spans="1:7">
      <c r="A268" s="2955">
        <v>267</v>
      </c>
      <c r="B268" s="2955" t="s">
        <v>3016</v>
      </c>
      <c r="C268" s="2955" t="s">
        <v>3014</v>
      </c>
      <c r="D268" s="2955" t="s">
        <v>3284</v>
      </c>
      <c r="E268" s="2955">
        <v>99.55</v>
      </c>
      <c r="F268" s="3169">
        <v>2170728</v>
      </c>
      <c r="G268" s="3252">
        <f t="shared" si="4"/>
        <v>21805.404319437468</v>
      </c>
    </row>
    <row r="269" spans="1:7">
      <c r="A269" s="2955">
        <v>268</v>
      </c>
      <c r="B269" s="2955" t="s">
        <v>3016</v>
      </c>
      <c r="C269" s="2955" t="s">
        <v>3014</v>
      </c>
      <c r="D269" s="2955" t="s">
        <v>3285</v>
      </c>
      <c r="E269" s="2955">
        <v>125.31</v>
      </c>
      <c r="F269" s="3169">
        <v>2682311</v>
      </c>
      <c r="G269" s="3252">
        <f t="shared" si="4"/>
        <v>21405.402601548161</v>
      </c>
    </row>
    <row r="270" spans="1:7">
      <c r="A270" s="2955">
        <v>269</v>
      </c>
      <c r="B270" s="2955" t="s">
        <v>3016</v>
      </c>
      <c r="C270" s="2955" t="s">
        <v>3014</v>
      </c>
      <c r="D270" s="2955" t="s">
        <v>3286</v>
      </c>
      <c r="E270" s="2955">
        <v>99.55</v>
      </c>
      <c r="F270" s="3169">
        <v>2180683</v>
      </c>
      <c r="G270" s="3252">
        <f t="shared" si="4"/>
        <v>21905.404319437468</v>
      </c>
    </row>
    <row r="271" spans="1:7">
      <c r="A271" s="2955">
        <v>270</v>
      </c>
      <c r="B271" s="2955" t="s">
        <v>3016</v>
      </c>
      <c r="C271" s="2955" t="s">
        <v>3014</v>
      </c>
      <c r="D271" s="2955" t="s">
        <v>3287</v>
      </c>
      <c r="E271" s="2955">
        <v>99.55</v>
      </c>
      <c r="F271" s="3169">
        <v>2120953</v>
      </c>
      <c r="G271" s="3252">
        <f t="shared" si="4"/>
        <v>21305.404319437468</v>
      </c>
    </row>
    <row r="272" spans="1:7">
      <c r="A272" s="2955">
        <v>271</v>
      </c>
      <c r="B272" s="2955" t="s">
        <v>3016</v>
      </c>
      <c r="C272" s="2955" t="s">
        <v>3014</v>
      </c>
      <c r="D272" s="2955" t="s">
        <v>3288</v>
      </c>
      <c r="E272" s="2955">
        <v>125.31</v>
      </c>
      <c r="F272" s="3169">
        <v>2637199</v>
      </c>
      <c r="G272" s="3252">
        <f t="shared" si="4"/>
        <v>21045.399409464528</v>
      </c>
    </row>
    <row r="273" spans="1:7">
      <c r="A273" s="2955">
        <v>272</v>
      </c>
      <c r="B273" s="2955" t="s">
        <v>3016</v>
      </c>
      <c r="C273" s="2955" t="s">
        <v>3014</v>
      </c>
      <c r="D273" s="2955" t="s">
        <v>3289</v>
      </c>
      <c r="E273" s="2955">
        <v>99.55</v>
      </c>
      <c r="F273" s="3169">
        <v>2116971</v>
      </c>
      <c r="G273" s="3252">
        <f t="shared" si="4"/>
        <v>21265.404319437468</v>
      </c>
    </row>
    <row r="274" spans="1:7">
      <c r="A274" s="2955">
        <v>273</v>
      </c>
      <c r="B274" s="2955" t="s">
        <v>3016</v>
      </c>
      <c r="C274" s="2955" t="s">
        <v>3014</v>
      </c>
      <c r="D274" s="2955" t="s">
        <v>3290</v>
      </c>
      <c r="E274" s="2955">
        <v>125.31</v>
      </c>
      <c r="F274" s="3169">
        <v>2614643</v>
      </c>
      <c r="G274" s="3252">
        <f t="shared" si="4"/>
        <v>20865.397813422711</v>
      </c>
    </row>
    <row r="275" spans="1:7">
      <c r="A275" s="2955">
        <v>274</v>
      </c>
      <c r="B275" s="2955" t="s">
        <v>3016</v>
      </c>
      <c r="C275" s="2955" t="s">
        <v>3014</v>
      </c>
      <c r="D275" s="2955" t="s">
        <v>3291</v>
      </c>
      <c r="E275" s="2955">
        <v>99.55</v>
      </c>
      <c r="F275" s="3169">
        <v>2160773</v>
      </c>
      <c r="G275" s="3252">
        <f t="shared" si="4"/>
        <v>21705.404319437468</v>
      </c>
    </row>
    <row r="276" spans="1:7">
      <c r="A276" s="2955">
        <v>275</v>
      </c>
      <c r="B276" s="2955" t="s">
        <v>3016</v>
      </c>
      <c r="C276" s="2955" t="s">
        <v>3014</v>
      </c>
      <c r="D276" s="2955" t="s">
        <v>3292</v>
      </c>
      <c r="E276" s="2955">
        <v>97.87</v>
      </c>
      <c r="F276" s="3169">
        <v>2114520</v>
      </c>
      <c r="G276" s="3252">
        <f t="shared" si="4"/>
        <v>21605.394911617452</v>
      </c>
    </row>
    <row r="277" spans="1:7">
      <c r="A277" s="2955">
        <v>276</v>
      </c>
      <c r="B277" s="2955" t="s">
        <v>3016</v>
      </c>
      <c r="C277" s="2955" t="s">
        <v>3014</v>
      </c>
      <c r="D277" s="2955" t="s">
        <v>3293</v>
      </c>
      <c r="E277" s="2955">
        <v>123.53</v>
      </c>
      <c r="F277" s="3169">
        <v>2642226</v>
      </c>
      <c r="G277" s="3252">
        <f t="shared" si="4"/>
        <v>21389.346717396584</v>
      </c>
    </row>
    <row r="278" spans="1:7">
      <c r="A278" s="2955">
        <v>277</v>
      </c>
      <c r="B278" s="2955" t="s">
        <v>3016</v>
      </c>
      <c r="C278" s="2955" t="s">
        <v>3014</v>
      </c>
      <c r="D278" s="2955" t="s">
        <v>3294</v>
      </c>
      <c r="E278" s="2955">
        <v>123.53</v>
      </c>
      <c r="F278" s="3169">
        <v>2656562</v>
      </c>
      <c r="G278" s="3252">
        <f t="shared" si="4"/>
        <v>21505.399498097628</v>
      </c>
    </row>
    <row r="279" spans="1:7">
      <c r="A279" s="2955">
        <v>278</v>
      </c>
      <c r="B279" s="2955" t="s">
        <v>3016</v>
      </c>
      <c r="C279" s="2955" t="s">
        <v>3014</v>
      </c>
      <c r="D279" s="2955" t="s">
        <v>3295</v>
      </c>
      <c r="E279" s="2955">
        <v>123.53</v>
      </c>
      <c r="F279" s="3169">
        <v>2668915</v>
      </c>
      <c r="G279" s="3252">
        <f t="shared" si="4"/>
        <v>21605.399498097628</v>
      </c>
    </row>
    <row r="280" spans="1:7">
      <c r="A280" s="2955">
        <v>279</v>
      </c>
      <c r="B280" s="2955" t="s">
        <v>3016</v>
      </c>
      <c r="C280" s="2955" t="s">
        <v>3014</v>
      </c>
      <c r="D280" s="2955" t="s">
        <v>3296</v>
      </c>
      <c r="E280" s="2955">
        <v>97.87</v>
      </c>
      <c r="F280" s="3169">
        <v>2036224</v>
      </c>
      <c r="G280" s="3252">
        <f t="shared" si="4"/>
        <v>20805.394911617452</v>
      </c>
    </row>
    <row r="281" spans="1:7">
      <c r="A281" s="2955">
        <v>280</v>
      </c>
      <c r="B281" s="2955" t="s">
        <v>3016</v>
      </c>
      <c r="C281" s="2955" t="s">
        <v>3014</v>
      </c>
      <c r="D281" s="2955" t="s">
        <v>3297</v>
      </c>
      <c r="E281" s="2955">
        <v>125.31</v>
      </c>
      <c r="F281" s="3169">
        <v>2644718</v>
      </c>
      <c r="G281" s="3252">
        <f t="shared" si="4"/>
        <v>21105.402601548161</v>
      </c>
    </row>
    <row r="282" spans="1:7">
      <c r="A282" s="2955">
        <v>281</v>
      </c>
      <c r="B282" s="2955" t="s">
        <v>3016</v>
      </c>
      <c r="C282" s="2955" t="s">
        <v>3014</v>
      </c>
      <c r="D282" s="2955" t="s">
        <v>3298</v>
      </c>
      <c r="E282" s="2955">
        <v>99.55</v>
      </c>
      <c r="F282" s="3169">
        <v>2150818</v>
      </c>
      <c r="G282" s="3252">
        <f t="shared" si="4"/>
        <v>21605.404319437468</v>
      </c>
    </row>
    <row r="283" spans="1:7">
      <c r="A283" s="2955">
        <v>282</v>
      </c>
      <c r="B283" s="2955" t="s">
        <v>3016</v>
      </c>
      <c r="C283" s="2955" t="s">
        <v>3014</v>
      </c>
      <c r="D283" s="2955" t="s">
        <v>3299</v>
      </c>
      <c r="E283" s="2955">
        <v>99.55</v>
      </c>
      <c r="F283" s="3169">
        <v>2162764</v>
      </c>
      <c r="G283" s="3252">
        <f t="shared" si="4"/>
        <v>21725.404319437468</v>
      </c>
    </row>
    <row r="284" spans="1:7">
      <c r="A284" s="2955">
        <v>283</v>
      </c>
      <c r="B284" s="2955" t="s">
        <v>3016</v>
      </c>
      <c r="C284" s="2955" t="s">
        <v>3014</v>
      </c>
      <c r="D284" s="2955" t="s">
        <v>3300</v>
      </c>
      <c r="E284" s="2955">
        <v>125.31</v>
      </c>
      <c r="F284" s="3169">
        <v>2629680</v>
      </c>
      <c r="G284" s="3252">
        <f t="shared" si="4"/>
        <v>20985.396217380894</v>
      </c>
    </row>
    <row r="285" spans="1:7">
      <c r="A285" s="2955">
        <v>284</v>
      </c>
      <c r="B285" s="2955" t="s">
        <v>3016</v>
      </c>
      <c r="C285" s="2955" t="s">
        <v>3014</v>
      </c>
      <c r="D285" s="2955" t="s">
        <v>3301</v>
      </c>
      <c r="E285" s="2955">
        <v>125.31</v>
      </c>
      <c r="F285" s="3169">
        <v>2622162</v>
      </c>
      <c r="G285" s="3252">
        <f t="shared" si="4"/>
        <v>20925.401005506345</v>
      </c>
    </row>
    <row r="286" spans="1:7">
      <c r="A286" s="2955">
        <v>285</v>
      </c>
      <c r="B286" s="2955" t="s">
        <v>3016</v>
      </c>
      <c r="C286" s="2955" t="s">
        <v>3014</v>
      </c>
      <c r="D286" s="2955" t="s">
        <v>3302</v>
      </c>
      <c r="E286" s="2955">
        <v>125.31</v>
      </c>
      <c r="F286" s="3169">
        <v>2657249</v>
      </c>
      <c r="G286" s="3252">
        <f t="shared" si="4"/>
        <v>21205.402601548161</v>
      </c>
    </row>
    <row r="287" spans="1:7">
      <c r="A287" s="2955">
        <v>286</v>
      </c>
      <c r="B287" s="2955" t="s">
        <v>3016</v>
      </c>
      <c r="C287" s="2955" t="s">
        <v>3014</v>
      </c>
      <c r="D287" s="2955" t="s">
        <v>3303</v>
      </c>
      <c r="E287" s="2955">
        <v>99.55</v>
      </c>
      <c r="F287" s="3169">
        <v>2156791</v>
      </c>
      <c r="G287" s="3252">
        <f t="shared" si="4"/>
        <v>21665.404319437468</v>
      </c>
    </row>
    <row r="288" spans="1:7">
      <c r="A288" s="2955">
        <v>287</v>
      </c>
      <c r="B288" s="2955" t="s">
        <v>3016</v>
      </c>
      <c r="C288" s="2955" t="s">
        <v>3014</v>
      </c>
      <c r="D288" s="2955" t="s">
        <v>3304</v>
      </c>
      <c r="E288" s="2955">
        <v>97.87</v>
      </c>
      <c r="F288" s="3169">
        <v>2124307</v>
      </c>
      <c r="G288" s="3252">
        <f t="shared" si="4"/>
        <v>21705.394911617452</v>
      </c>
    </row>
    <row r="289" spans="1:7">
      <c r="A289" s="2955">
        <v>288</v>
      </c>
      <c r="B289" s="2955" t="s">
        <v>3016</v>
      </c>
      <c r="C289" s="2955" t="s">
        <v>3014</v>
      </c>
      <c r="D289" s="2955" t="s">
        <v>3305</v>
      </c>
      <c r="E289" s="2955">
        <v>125.31</v>
      </c>
      <c r="F289" s="3169">
        <v>2659755</v>
      </c>
      <c r="G289" s="3252">
        <f t="shared" si="4"/>
        <v>21225.401005506345</v>
      </c>
    </row>
    <row r="290" spans="1:7">
      <c r="A290" s="2955">
        <v>289</v>
      </c>
      <c r="B290" s="2955" t="s">
        <v>3016</v>
      </c>
      <c r="C290" s="2955" t="s">
        <v>3014</v>
      </c>
      <c r="D290" s="2955" t="s">
        <v>3306</v>
      </c>
      <c r="E290" s="2955">
        <v>99.55</v>
      </c>
      <c r="F290" s="3169">
        <v>2160773</v>
      </c>
      <c r="G290" s="3252">
        <f t="shared" si="4"/>
        <v>21705.404319437468</v>
      </c>
    </row>
    <row r="291" spans="1:7">
      <c r="A291" s="2955">
        <v>290</v>
      </c>
      <c r="B291" s="2955" t="s">
        <v>3016</v>
      </c>
      <c r="C291" s="2955" t="s">
        <v>3014</v>
      </c>
      <c r="D291" s="2955" t="s">
        <v>3307</v>
      </c>
      <c r="E291" s="2955">
        <v>99.55</v>
      </c>
      <c r="F291" s="3169">
        <v>2144845</v>
      </c>
      <c r="G291" s="3252">
        <f t="shared" si="4"/>
        <v>21545.404319437468</v>
      </c>
    </row>
    <row r="292" spans="1:7">
      <c r="A292" s="2955">
        <v>291</v>
      </c>
      <c r="B292" s="2955" t="s">
        <v>3016</v>
      </c>
      <c r="C292" s="2955" t="s">
        <v>3014</v>
      </c>
      <c r="D292" s="2955" t="s">
        <v>3308</v>
      </c>
      <c r="E292" s="2955">
        <v>99.55</v>
      </c>
      <c r="F292" s="3169">
        <v>2122944</v>
      </c>
      <c r="G292" s="3252">
        <f t="shared" si="4"/>
        <v>21325.404319437468</v>
      </c>
    </row>
    <row r="293" spans="1:7">
      <c r="A293" s="2955">
        <v>292</v>
      </c>
      <c r="B293" s="2955" t="s">
        <v>3016</v>
      </c>
      <c r="C293" s="2955" t="s">
        <v>3014</v>
      </c>
      <c r="D293" s="2955" t="s">
        <v>3309</v>
      </c>
      <c r="E293" s="2955">
        <v>123.53</v>
      </c>
      <c r="F293" s="3169">
        <v>2668915</v>
      </c>
      <c r="G293" s="3252">
        <f t="shared" si="4"/>
        <v>21605.399498097628</v>
      </c>
    </row>
    <row r="294" spans="1:7">
      <c r="A294" s="2955">
        <v>293</v>
      </c>
      <c r="B294" s="2955" t="s">
        <v>3016</v>
      </c>
      <c r="C294" s="2955" t="s">
        <v>3014</v>
      </c>
      <c r="D294" s="2955" t="s">
        <v>3310</v>
      </c>
      <c r="E294" s="2955">
        <v>99.55</v>
      </c>
      <c r="F294" s="3169">
        <v>2110998</v>
      </c>
      <c r="G294" s="3252">
        <f t="shared" si="4"/>
        <v>21205.404319437468</v>
      </c>
    </row>
    <row r="295" spans="1:7">
      <c r="A295" s="2955">
        <v>294</v>
      </c>
      <c r="B295" s="2955" t="s">
        <v>3016</v>
      </c>
      <c r="C295" s="2955" t="s">
        <v>3014</v>
      </c>
      <c r="D295" s="2955" t="s">
        <v>3311</v>
      </c>
      <c r="E295" s="2955">
        <v>125.31</v>
      </c>
      <c r="F295" s="3169">
        <v>2669780</v>
      </c>
      <c r="G295" s="3252">
        <f t="shared" si="4"/>
        <v>21305.402601548161</v>
      </c>
    </row>
    <row r="296" spans="1:7">
      <c r="A296" s="2955">
        <v>295</v>
      </c>
      <c r="B296" s="2955" t="s">
        <v>3016</v>
      </c>
      <c r="C296" s="2955" t="s">
        <v>3014</v>
      </c>
      <c r="D296" s="2955" t="s">
        <v>3312</v>
      </c>
      <c r="E296" s="2955">
        <v>123.53</v>
      </c>
      <c r="F296" s="3169">
        <v>2624444</v>
      </c>
      <c r="G296" s="3252">
        <f t="shared" si="4"/>
        <v>21245.39787905772</v>
      </c>
    </row>
    <row r="297" spans="1:7">
      <c r="A297" s="2955">
        <v>296</v>
      </c>
      <c r="B297" s="2955" t="s">
        <v>3016</v>
      </c>
      <c r="C297" s="2955" t="s">
        <v>3014</v>
      </c>
      <c r="D297" s="2955" t="s">
        <v>3313</v>
      </c>
      <c r="E297" s="2955">
        <v>99.55</v>
      </c>
      <c r="F297" s="3169">
        <v>2134890</v>
      </c>
      <c r="G297" s="3252">
        <f t="shared" si="4"/>
        <v>21445.404319437468</v>
      </c>
    </row>
    <row r="298" spans="1:7">
      <c r="A298" s="2955">
        <v>297</v>
      </c>
      <c r="B298" s="2955" t="s">
        <v>3016</v>
      </c>
      <c r="C298" s="2955" t="s">
        <v>3014</v>
      </c>
      <c r="D298" s="2955" t="s">
        <v>3314</v>
      </c>
      <c r="E298" s="2955">
        <v>123.53</v>
      </c>
      <c r="F298" s="3169">
        <v>2609621</v>
      </c>
      <c r="G298" s="3252">
        <f t="shared" si="4"/>
        <v>21125.402736177446</v>
      </c>
    </row>
    <row r="299" spans="1:7">
      <c r="A299" s="2955">
        <v>298</v>
      </c>
      <c r="B299" s="2955" t="s">
        <v>3016</v>
      </c>
      <c r="C299" s="2955" t="s">
        <v>3014</v>
      </c>
      <c r="D299" s="2955" t="s">
        <v>3315</v>
      </c>
      <c r="E299" s="2955">
        <v>125.31</v>
      </c>
      <c r="F299" s="3169">
        <v>2682311</v>
      </c>
      <c r="G299" s="3252">
        <f t="shared" si="4"/>
        <v>21405.402601548161</v>
      </c>
    </row>
    <row r="300" spans="1:7">
      <c r="A300" s="2955">
        <v>299</v>
      </c>
      <c r="B300" s="2955" t="s">
        <v>3016</v>
      </c>
      <c r="C300" s="2955" t="s">
        <v>3014</v>
      </c>
      <c r="D300" s="2955" t="s">
        <v>3316</v>
      </c>
      <c r="E300" s="2955">
        <v>99.55</v>
      </c>
      <c r="F300" s="3169">
        <v>2170728</v>
      </c>
      <c r="G300" s="3252">
        <f t="shared" si="4"/>
        <v>21805.404319437468</v>
      </c>
    </row>
    <row r="301" spans="1:7">
      <c r="A301" s="2955">
        <v>300</v>
      </c>
      <c r="B301" s="2955" t="s">
        <v>3016</v>
      </c>
      <c r="C301" s="2955" t="s">
        <v>3014</v>
      </c>
      <c r="D301" s="2955" t="s">
        <v>3317</v>
      </c>
      <c r="E301" s="2955">
        <v>125.31</v>
      </c>
      <c r="F301" s="3169">
        <v>2659755</v>
      </c>
      <c r="G301" s="3252">
        <f t="shared" si="4"/>
        <v>21225.401005506345</v>
      </c>
    </row>
    <row r="302" spans="1:7">
      <c r="A302" s="2955">
        <v>301</v>
      </c>
      <c r="B302" s="2955" t="s">
        <v>3016</v>
      </c>
      <c r="C302" s="2955" t="s">
        <v>3014</v>
      </c>
      <c r="D302" s="2955" t="s">
        <v>3318</v>
      </c>
      <c r="E302" s="2955">
        <v>125.31</v>
      </c>
      <c r="F302" s="3169">
        <v>2659755</v>
      </c>
      <c r="G302" s="3252">
        <f t="shared" si="4"/>
        <v>21225.401005506345</v>
      </c>
    </row>
    <row r="303" spans="1:7">
      <c r="A303" s="2955">
        <v>302</v>
      </c>
      <c r="B303" s="2955" t="s">
        <v>3016</v>
      </c>
      <c r="C303" s="2955" t="s">
        <v>3014</v>
      </c>
      <c r="D303" s="2955" t="s">
        <v>3319</v>
      </c>
      <c r="E303" s="2955">
        <v>99.55</v>
      </c>
      <c r="F303" s="3169">
        <v>2170728</v>
      </c>
      <c r="G303" s="3252">
        <f t="shared" si="4"/>
        <v>21805.404319437468</v>
      </c>
    </row>
    <row r="304" spans="1:7">
      <c r="A304" s="2955">
        <v>303</v>
      </c>
      <c r="B304" s="2955" t="s">
        <v>3016</v>
      </c>
      <c r="C304" s="2955" t="s">
        <v>3014</v>
      </c>
      <c r="D304" s="2955" t="s">
        <v>3320</v>
      </c>
      <c r="E304" s="2955">
        <v>99.55</v>
      </c>
      <c r="F304" s="3169">
        <v>2180683</v>
      </c>
      <c r="G304" s="3252">
        <f t="shared" si="4"/>
        <v>21905.404319437468</v>
      </c>
    </row>
    <row r="305" spans="1:7">
      <c r="A305" s="2955">
        <v>304</v>
      </c>
      <c r="B305" s="2955" t="s">
        <v>3016</v>
      </c>
      <c r="C305" s="2955" t="s">
        <v>3014</v>
      </c>
      <c r="D305" s="2955" t="s">
        <v>3321</v>
      </c>
      <c r="E305" s="2955">
        <v>125.31</v>
      </c>
      <c r="F305" s="3169">
        <v>2652236</v>
      </c>
      <c r="G305" s="3252">
        <f t="shared" si="4"/>
        <v>21165.397813422711</v>
      </c>
    </row>
    <row r="306" spans="1:7">
      <c r="A306" s="2955">
        <v>305</v>
      </c>
      <c r="B306" s="2955" t="s">
        <v>3016</v>
      </c>
      <c r="C306" s="2955" t="s">
        <v>3014</v>
      </c>
      <c r="D306" s="2955" t="s">
        <v>3322</v>
      </c>
      <c r="E306" s="2955">
        <v>125.31</v>
      </c>
      <c r="F306" s="3169">
        <v>2644718</v>
      </c>
      <c r="G306" s="3252">
        <f t="shared" si="4"/>
        <v>21105.402601548161</v>
      </c>
    </row>
    <row r="307" spans="1:7">
      <c r="A307" s="2955">
        <v>306</v>
      </c>
      <c r="B307" s="2955" t="s">
        <v>3016</v>
      </c>
      <c r="C307" s="2955" t="s">
        <v>3014</v>
      </c>
      <c r="D307" s="2955" t="s">
        <v>3323</v>
      </c>
      <c r="E307" s="2955">
        <v>99.55</v>
      </c>
      <c r="F307" s="3169">
        <v>2140863</v>
      </c>
      <c r="G307" s="3252">
        <f t="shared" si="4"/>
        <v>21505.404319437468</v>
      </c>
    </row>
    <row r="308" spans="1:7">
      <c r="A308" s="2955">
        <v>307</v>
      </c>
      <c r="B308" s="2955" t="s">
        <v>3016</v>
      </c>
      <c r="C308" s="2955" t="s">
        <v>3014</v>
      </c>
      <c r="D308" s="2955" t="s">
        <v>3324</v>
      </c>
      <c r="E308" s="2955">
        <v>99.55</v>
      </c>
      <c r="F308" s="3169">
        <v>2132899</v>
      </c>
      <c r="G308" s="3252">
        <f t="shared" si="4"/>
        <v>21425.404319437468</v>
      </c>
    </row>
    <row r="309" spans="1:7">
      <c r="A309" s="2955">
        <v>308</v>
      </c>
      <c r="B309" s="2955" t="s">
        <v>3016</v>
      </c>
      <c r="C309" s="2955" t="s">
        <v>3014</v>
      </c>
      <c r="D309" s="2955" t="s">
        <v>3325</v>
      </c>
      <c r="E309" s="2955">
        <v>125.31</v>
      </c>
      <c r="F309" s="3169">
        <v>2582063</v>
      </c>
      <c r="G309" s="3252">
        <f t="shared" si="4"/>
        <v>20605.402601548161</v>
      </c>
    </row>
    <row r="310" spans="1:7">
      <c r="A310" s="2955">
        <v>309</v>
      </c>
      <c r="B310" s="2955" t="s">
        <v>3016</v>
      </c>
      <c r="C310" s="2955" t="s">
        <v>3014</v>
      </c>
      <c r="D310" s="2955" t="s">
        <v>3326</v>
      </c>
      <c r="E310" s="2955">
        <v>99.55</v>
      </c>
      <c r="F310" s="3169">
        <v>2146836</v>
      </c>
      <c r="G310" s="3252">
        <f t="shared" si="4"/>
        <v>21565.404319437468</v>
      </c>
    </row>
    <row r="311" spans="1:7">
      <c r="A311" s="2955">
        <v>310</v>
      </c>
      <c r="B311" s="2955" t="s">
        <v>3016</v>
      </c>
      <c r="C311" s="2955" t="s">
        <v>3014</v>
      </c>
      <c r="D311" s="2955" t="s">
        <v>3327</v>
      </c>
      <c r="E311" s="2955">
        <v>125.31</v>
      </c>
      <c r="F311" s="3169">
        <v>2632187</v>
      </c>
      <c r="G311" s="3252">
        <f t="shared" si="4"/>
        <v>21005.402601548161</v>
      </c>
    </row>
    <row r="312" spans="1:7">
      <c r="A312" s="2955">
        <v>311</v>
      </c>
      <c r="B312" s="2955" t="s">
        <v>3016</v>
      </c>
      <c r="C312" s="2955" t="s">
        <v>3014</v>
      </c>
      <c r="D312" s="2955" t="s">
        <v>3328</v>
      </c>
      <c r="E312" s="2955">
        <v>99.55</v>
      </c>
      <c r="F312" s="3169">
        <v>2152809</v>
      </c>
      <c r="G312" s="3252">
        <f t="shared" si="4"/>
        <v>21625.404319437468</v>
      </c>
    </row>
    <row r="313" spans="1:7">
      <c r="A313" s="2955">
        <v>312</v>
      </c>
      <c r="B313" s="2955" t="s">
        <v>3016</v>
      </c>
      <c r="C313" s="2955" t="s">
        <v>3014</v>
      </c>
      <c r="D313" s="2955" t="s">
        <v>3329</v>
      </c>
      <c r="E313" s="2955">
        <v>122.15</v>
      </c>
      <c r="F313" s="3169">
        <v>2590240</v>
      </c>
      <c r="G313" s="3252">
        <f t="shared" si="4"/>
        <v>21205.40319279574</v>
      </c>
    </row>
    <row r="314" spans="1:7">
      <c r="A314" s="2955">
        <v>313</v>
      </c>
      <c r="B314" s="2955" t="s">
        <v>3016</v>
      </c>
      <c r="C314" s="2955" t="s">
        <v>3014</v>
      </c>
      <c r="D314" s="2955" t="s">
        <v>3330</v>
      </c>
      <c r="E314" s="2955">
        <v>97.87</v>
      </c>
      <c r="F314" s="3169">
        <v>2046011</v>
      </c>
      <c r="G314" s="3252">
        <f t="shared" si="4"/>
        <v>20905.394911617452</v>
      </c>
    </row>
    <row r="315" spans="1:7">
      <c r="A315" s="2955">
        <v>314</v>
      </c>
      <c r="B315" s="2955" t="s">
        <v>3016</v>
      </c>
      <c r="C315" s="2955" t="s">
        <v>3014</v>
      </c>
      <c r="D315" s="2955" t="s">
        <v>3331</v>
      </c>
      <c r="E315" s="2955">
        <v>125.31</v>
      </c>
      <c r="F315" s="3169">
        <v>2607125</v>
      </c>
      <c r="G315" s="3252">
        <f t="shared" si="4"/>
        <v>20805.402601548161</v>
      </c>
    </row>
    <row r="316" spans="1:7">
      <c r="A316" s="2955">
        <v>315</v>
      </c>
      <c r="B316" s="2955" t="s">
        <v>3016</v>
      </c>
      <c r="C316" s="2955" t="s">
        <v>3014</v>
      </c>
      <c r="D316" s="2955" t="s">
        <v>3332</v>
      </c>
      <c r="E316" s="2955">
        <v>123.53</v>
      </c>
      <c r="F316" s="3169">
        <v>2639268</v>
      </c>
      <c r="G316" s="3252">
        <f t="shared" si="4"/>
        <v>21365.401117137539</v>
      </c>
    </row>
    <row r="317" spans="1:7">
      <c r="A317" s="2955">
        <v>316</v>
      </c>
      <c r="B317" s="2955" t="s">
        <v>3016</v>
      </c>
      <c r="C317" s="2955" t="s">
        <v>3014</v>
      </c>
      <c r="D317" s="2955" t="s">
        <v>3333</v>
      </c>
      <c r="E317" s="2955">
        <v>123.53</v>
      </c>
      <c r="F317" s="3169">
        <v>2656562</v>
      </c>
      <c r="G317" s="3252">
        <f t="shared" si="4"/>
        <v>21505.399498097628</v>
      </c>
    </row>
    <row r="318" spans="1:7">
      <c r="A318" s="2955">
        <v>317</v>
      </c>
      <c r="B318" s="2955" t="s">
        <v>3016</v>
      </c>
      <c r="C318" s="2955" t="s">
        <v>3014</v>
      </c>
      <c r="D318" s="2955" t="s">
        <v>3334</v>
      </c>
      <c r="E318" s="2955">
        <v>125.33</v>
      </c>
      <c r="F318" s="3169">
        <v>2615061</v>
      </c>
      <c r="G318" s="3252">
        <f t="shared" si="4"/>
        <v>20865.403335195086</v>
      </c>
    </row>
    <row r="319" spans="1:7">
      <c r="A319" s="2955">
        <v>318</v>
      </c>
      <c r="B319" s="2955" t="s">
        <v>3016</v>
      </c>
      <c r="C319" s="2955" t="s">
        <v>3014</v>
      </c>
      <c r="D319" s="2955" t="s">
        <v>3335</v>
      </c>
      <c r="E319" s="2955">
        <v>99.56</v>
      </c>
      <c r="F319" s="3169">
        <v>2113201</v>
      </c>
      <c r="G319" s="3252">
        <f t="shared" si="4"/>
        <v>21225.401767778225</v>
      </c>
    </row>
    <row r="320" spans="1:7">
      <c r="A320" s="2955">
        <v>319</v>
      </c>
      <c r="B320" s="2955" t="s">
        <v>3016</v>
      </c>
      <c r="C320" s="2955" t="s">
        <v>3014</v>
      </c>
      <c r="D320" s="2955" t="s">
        <v>3336</v>
      </c>
      <c r="E320" s="2955">
        <v>123.54</v>
      </c>
      <c r="F320" s="3169">
        <v>2599949</v>
      </c>
      <c r="G320" s="3252">
        <f t="shared" si="4"/>
        <v>21045.402298850575</v>
      </c>
    </row>
    <row r="321" spans="1:7">
      <c r="A321" s="2955">
        <v>320</v>
      </c>
      <c r="B321" s="2955" t="s">
        <v>3016</v>
      </c>
      <c r="C321" s="2955" t="s">
        <v>3014</v>
      </c>
      <c r="D321" s="2955" t="s">
        <v>3337</v>
      </c>
      <c r="E321" s="2955">
        <v>125.33</v>
      </c>
      <c r="F321" s="3169">
        <v>2652660</v>
      </c>
      <c r="G321" s="3252">
        <f t="shared" si="4"/>
        <v>21165.403335195086</v>
      </c>
    </row>
    <row r="322" spans="1:7">
      <c r="A322" s="2955">
        <v>321</v>
      </c>
      <c r="B322" s="2955" t="s">
        <v>3016</v>
      </c>
      <c r="C322" s="2955" t="s">
        <v>3014</v>
      </c>
      <c r="D322" s="2955" t="s">
        <v>3338</v>
      </c>
      <c r="E322" s="2955">
        <v>123.54</v>
      </c>
      <c r="F322" s="3169">
        <v>2622186</v>
      </c>
      <c r="G322" s="3252">
        <f t="shared" si="4"/>
        <v>21225.400679941718</v>
      </c>
    </row>
    <row r="323" spans="1:7">
      <c r="A323" s="2955">
        <v>322</v>
      </c>
      <c r="B323" s="2955" t="s">
        <v>3016</v>
      </c>
      <c r="C323" s="2955" t="s">
        <v>3014</v>
      </c>
      <c r="D323" s="2955" t="s">
        <v>3339</v>
      </c>
      <c r="E323" s="2955">
        <v>125.33</v>
      </c>
      <c r="F323" s="3169">
        <v>2670206</v>
      </c>
      <c r="G323" s="3252">
        <f t="shared" ref="G323:G386" si="5">F323/E323</f>
        <v>21305.401739407964</v>
      </c>
    </row>
    <row r="324" spans="1:7">
      <c r="A324" s="2955">
        <v>323</v>
      </c>
      <c r="B324" s="2955" t="s">
        <v>3016</v>
      </c>
      <c r="C324" s="2955" t="s">
        <v>3014</v>
      </c>
      <c r="D324" s="2955" t="s">
        <v>3340</v>
      </c>
      <c r="E324" s="2955">
        <v>99.56</v>
      </c>
      <c r="F324" s="3169">
        <v>2170946</v>
      </c>
      <c r="G324" s="3252">
        <f t="shared" si="5"/>
        <v>21805.403776617113</v>
      </c>
    </row>
    <row r="325" spans="1:7">
      <c r="A325" s="2955">
        <v>324</v>
      </c>
      <c r="B325" s="2955" t="s">
        <v>3016</v>
      </c>
      <c r="C325" s="2955" t="s">
        <v>3014</v>
      </c>
      <c r="D325" s="2955" t="s">
        <v>3341</v>
      </c>
      <c r="E325" s="2955">
        <v>123.54</v>
      </c>
      <c r="F325" s="3169">
        <v>2614774</v>
      </c>
      <c r="G325" s="3252">
        <f t="shared" si="5"/>
        <v>21165.403917759428</v>
      </c>
    </row>
    <row r="326" spans="1:7">
      <c r="A326" s="2955">
        <v>325</v>
      </c>
      <c r="B326" s="2955" t="s">
        <v>3016</v>
      </c>
      <c r="C326" s="2955" t="s">
        <v>3014</v>
      </c>
      <c r="D326" s="2955" t="s">
        <v>3342</v>
      </c>
      <c r="E326" s="2955">
        <v>123.54</v>
      </c>
      <c r="F326" s="3169">
        <v>2644423</v>
      </c>
      <c r="G326" s="3252">
        <f t="shared" si="5"/>
        <v>21405.399061032862</v>
      </c>
    </row>
    <row r="327" spans="1:7">
      <c r="A327" s="2955">
        <v>326</v>
      </c>
      <c r="B327" s="2955" t="s">
        <v>3016</v>
      </c>
      <c r="C327" s="2955" t="s">
        <v>3014</v>
      </c>
      <c r="D327" s="2955" t="s">
        <v>3343</v>
      </c>
      <c r="E327" s="2955">
        <v>123.54</v>
      </c>
      <c r="F327" s="3169">
        <v>2644423</v>
      </c>
      <c r="G327" s="3252">
        <f t="shared" si="5"/>
        <v>21405.399061032862</v>
      </c>
    </row>
    <row r="328" spans="1:7">
      <c r="A328" s="2955">
        <v>327</v>
      </c>
      <c r="B328" s="2955" t="s">
        <v>3016</v>
      </c>
      <c r="C328" s="2955" t="s">
        <v>3014</v>
      </c>
      <c r="D328" s="2955" t="s">
        <v>3344</v>
      </c>
      <c r="E328" s="2955">
        <v>99.56</v>
      </c>
      <c r="F328" s="3169">
        <v>2170946</v>
      </c>
      <c r="G328" s="3252">
        <f t="shared" si="5"/>
        <v>21805.403776617113</v>
      </c>
    </row>
    <row r="329" spans="1:7">
      <c r="A329" s="2955">
        <v>328</v>
      </c>
      <c r="B329" s="2955" t="s">
        <v>3016</v>
      </c>
      <c r="C329" s="2955" t="s">
        <v>3014</v>
      </c>
      <c r="D329" s="2955" t="s">
        <v>3345</v>
      </c>
      <c r="E329" s="2955">
        <v>123.54</v>
      </c>
      <c r="F329" s="3169">
        <v>2632069</v>
      </c>
      <c r="G329" s="3252">
        <f t="shared" si="5"/>
        <v>21305.399061032862</v>
      </c>
    </row>
    <row r="330" spans="1:7">
      <c r="A330" s="2955">
        <v>329</v>
      </c>
      <c r="B330" s="2955" t="s">
        <v>3016</v>
      </c>
      <c r="C330" s="2955" t="s">
        <v>3014</v>
      </c>
      <c r="D330" s="2955" t="s">
        <v>3346</v>
      </c>
      <c r="E330" s="2955">
        <v>99.56</v>
      </c>
      <c r="F330" s="3169">
        <v>2143069</v>
      </c>
      <c r="G330" s="3252">
        <f t="shared" si="5"/>
        <v>21525.401767778225</v>
      </c>
    </row>
    <row r="331" spans="1:7">
      <c r="A331" s="2955">
        <v>330</v>
      </c>
      <c r="B331" s="2955" t="s">
        <v>3016</v>
      </c>
      <c r="C331" s="2955" t="s">
        <v>3014</v>
      </c>
      <c r="D331" s="2955" t="s">
        <v>3347</v>
      </c>
      <c r="E331" s="2955">
        <v>123.54</v>
      </c>
      <c r="F331" s="3169">
        <v>2644423</v>
      </c>
      <c r="G331" s="3252">
        <f t="shared" si="5"/>
        <v>21405.399061032862</v>
      </c>
    </row>
    <row r="332" spans="1:7">
      <c r="A332" s="2955">
        <v>331</v>
      </c>
      <c r="B332" s="2955" t="s">
        <v>3016</v>
      </c>
      <c r="C332" s="2955" t="s">
        <v>3014</v>
      </c>
      <c r="D332" s="2955" t="s">
        <v>3348</v>
      </c>
      <c r="E332" s="2955">
        <v>120.36</v>
      </c>
      <c r="F332" s="3169">
        <v>2480066</v>
      </c>
      <c r="G332" s="3252">
        <f t="shared" si="5"/>
        <v>20605.400465270854</v>
      </c>
    </row>
    <row r="333" spans="1:7">
      <c r="A333" s="2955">
        <v>332</v>
      </c>
      <c r="B333" s="2955" t="s">
        <v>3016</v>
      </c>
      <c r="C333" s="2955" t="s">
        <v>3014</v>
      </c>
      <c r="D333" s="2955" t="s">
        <v>3349</v>
      </c>
      <c r="E333" s="2955">
        <v>99.56</v>
      </c>
      <c r="F333" s="3169">
        <v>2125148</v>
      </c>
      <c r="G333" s="3252">
        <f t="shared" si="5"/>
        <v>21345.399758939333</v>
      </c>
    </row>
    <row r="334" spans="1:7">
      <c r="A334" s="2955">
        <v>333</v>
      </c>
      <c r="B334" s="2955" t="s">
        <v>3016</v>
      </c>
      <c r="C334" s="2955" t="s">
        <v>3014</v>
      </c>
      <c r="D334" s="2955" t="s">
        <v>3350</v>
      </c>
      <c r="E334" s="2955">
        <v>123.54</v>
      </c>
      <c r="F334" s="3169">
        <v>2622186</v>
      </c>
      <c r="G334" s="3252">
        <f t="shared" si="5"/>
        <v>21225.400679941718</v>
      </c>
    </row>
    <row r="335" spans="1:7">
      <c r="A335" s="2955">
        <v>334</v>
      </c>
      <c r="B335" s="2955" t="s">
        <v>3016</v>
      </c>
      <c r="C335" s="2955" t="s">
        <v>3014</v>
      </c>
      <c r="D335" s="2955" t="s">
        <v>3351</v>
      </c>
      <c r="E335" s="2955">
        <v>99.56</v>
      </c>
      <c r="F335" s="3169">
        <v>2137095</v>
      </c>
      <c r="G335" s="3252">
        <f t="shared" si="5"/>
        <v>21465.397750100441</v>
      </c>
    </row>
    <row r="336" spans="1:7">
      <c r="A336" s="2955">
        <v>335</v>
      </c>
      <c r="B336" s="2955" t="s">
        <v>3016</v>
      </c>
      <c r="C336" s="2955" t="s">
        <v>3014</v>
      </c>
      <c r="D336" s="2955" t="s">
        <v>3352</v>
      </c>
      <c r="E336" s="2955">
        <v>99.56</v>
      </c>
      <c r="F336" s="3169">
        <v>2143069</v>
      </c>
      <c r="G336" s="3252">
        <f t="shared" si="5"/>
        <v>21525.401767778225</v>
      </c>
    </row>
    <row r="337" spans="1:7">
      <c r="A337" s="2955">
        <v>336</v>
      </c>
      <c r="B337" s="2955" t="s">
        <v>3016</v>
      </c>
      <c r="C337" s="2955" t="s">
        <v>3014</v>
      </c>
      <c r="D337" s="2955" t="s">
        <v>3353</v>
      </c>
      <c r="E337" s="2955">
        <v>99.56</v>
      </c>
      <c r="F337" s="3169">
        <v>2119174</v>
      </c>
      <c r="G337" s="3252">
        <f t="shared" si="5"/>
        <v>21285.395741261549</v>
      </c>
    </row>
    <row r="338" spans="1:7">
      <c r="A338" s="2955">
        <v>337</v>
      </c>
      <c r="B338" s="2955" t="s">
        <v>3016</v>
      </c>
      <c r="C338" s="2955" t="s">
        <v>3014</v>
      </c>
      <c r="D338" s="2955" t="s">
        <v>3354</v>
      </c>
      <c r="E338" s="2955">
        <v>99.56</v>
      </c>
      <c r="F338" s="3169">
        <v>2170946</v>
      </c>
      <c r="G338" s="3252">
        <f t="shared" si="5"/>
        <v>21805.403776617113</v>
      </c>
    </row>
    <row r="339" spans="1:7">
      <c r="A339" s="2955">
        <v>338</v>
      </c>
      <c r="B339" s="2955" t="s">
        <v>3016</v>
      </c>
      <c r="C339" s="2955" t="s">
        <v>3014</v>
      </c>
      <c r="D339" s="2955" t="s">
        <v>3355</v>
      </c>
      <c r="E339" s="2955">
        <v>99.56</v>
      </c>
      <c r="F339" s="3169">
        <v>2160990</v>
      </c>
      <c r="G339" s="3252">
        <f t="shared" si="5"/>
        <v>21705.403776617113</v>
      </c>
    </row>
    <row r="340" spans="1:7">
      <c r="A340" s="2955">
        <v>339</v>
      </c>
      <c r="B340" s="2955" t="s">
        <v>3016</v>
      </c>
      <c r="C340" s="2955" t="s">
        <v>3014</v>
      </c>
      <c r="D340" s="2955" t="s">
        <v>3356</v>
      </c>
      <c r="E340" s="2955">
        <v>99.56</v>
      </c>
      <c r="F340" s="3169">
        <v>2145060</v>
      </c>
      <c r="G340" s="3252">
        <f t="shared" si="5"/>
        <v>21545.399758939333</v>
      </c>
    </row>
    <row r="341" spans="1:7">
      <c r="A341" s="2955">
        <v>340</v>
      </c>
      <c r="B341" s="2955" t="s">
        <v>3016</v>
      </c>
      <c r="C341" s="2955" t="s">
        <v>3014</v>
      </c>
      <c r="D341" s="2955" t="s">
        <v>3357</v>
      </c>
      <c r="E341" s="2955">
        <v>99.56</v>
      </c>
      <c r="F341" s="3169">
        <v>2151034</v>
      </c>
      <c r="G341" s="3252">
        <f t="shared" si="5"/>
        <v>21605.403776617113</v>
      </c>
    </row>
    <row r="342" spans="1:7">
      <c r="A342" s="2955">
        <v>341</v>
      </c>
      <c r="B342" s="2955" t="s">
        <v>3016</v>
      </c>
      <c r="C342" s="2955" t="s">
        <v>3014</v>
      </c>
      <c r="D342" s="2955" t="s">
        <v>3358</v>
      </c>
      <c r="E342" s="2955">
        <v>123.54</v>
      </c>
      <c r="F342" s="3169">
        <v>2632069</v>
      </c>
      <c r="G342" s="3252">
        <f t="shared" si="5"/>
        <v>21305.399061032862</v>
      </c>
    </row>
    <row r="343" spans="1:7">
      <c r="A343" s="2955">
        <v>342</v>
      </c>
      <c r="B343" s="2955" t="s">
        <v>3016</v>
      </c>
      <c r="C343" s="2955" t="s">
        <v>3014</v>
      </c>
      <c r="D343" s="2955" t="s">
        <v>3359</v>
      </c>
      <c r="E343" s="2955">
        <v>99.56</v>
      </c>
      <c r="F343" s="3169">
        <v>2151034</v>
      </c>
      <c r="G343" s="3252">
        <f t="shared" si="5"/>
        <v>21605.403776617113</v>
      </c>
    </row>
    <row r="344" spans="1:7">
      <c r="A344" s="2955">
        <v>343</v>
      </c>
      <c r="B344" s="2955" t="s">
        <v>3016</v>
      </c>
      <c r="C344" s="2955" t="s">
        <v>3014</v>
      </c>
      <c r="D344" s="2955" t="s">
        <v>3360</v>
      </c>
      <c r="E344" s="2955">
        <v>99.56</v>
      </c>
      <c r="F344" s="3169">
        <v>2131122</v>
      </c>
      <c r="G344" s="3252">
        <f t="shared" si="5"/>
        <v>21405.403776617113</v>
      </c>
    </row>
    <row r="345" spans="1:7">
      <c r="A345" s="2955">
        <v>344</v>
      </c>
      <c r="B345" s="2955" t="s">
        <v>3016</v>
      </c>
      <c r="C345" s="2955" t="s">
        <v>3014</v>
      </c>
      <c r="D345" s="2955" t="s">
        <v>3361</v>
      </c>
      <c r="E345" s="2955">
        <v>125.33</v>
      </c>
      <c r="F345" s="3169">
        <v>2657673</v>
      </c>
      <c r="G345" s="3252">
        <f t="shared" si="5"/>
        <v>21205.401739407964</v>
      </c>
    </row>
    <row r="346" spans="1:7">
      <c r="A346" s="2955">
        <v>345</v>
      </c>
      <c r="B346" s="2955" t="s">
        <v>3016</v>
      </c>
      <c r="C346" s="2955" t="s">
        <v>3014</v>
      </c>
      <c r="D346" s="2955" t="s">
        <v>3362</v>
      </c>
      <c r="E346" s="2955">
        <v>123.54</v>
      </c>
      <c r="F346" s="3169">
        <v>2585124</v>
      </c>
      <c r="G346" s="3252">
        <f t="shared" si="5"/>
        <v>20925.400679941718</v>
      </c>
    </row>
    <row r="347" spans="1:7">
      <c r="A347" s="2955">
        <v>346</v>
      </c>
      <c r="B347" s="2955" t="s">
        <v>3016</v>
      </c>
      <c r="C347" s="2955" t="s">
        <v>3014</v>
      </c>
      <c r="D347" s="2955" t="s">
        <v>3363</v>
      </c>
      <c r="E347" s="2955">
        <v>99.56</v>
      </c>
      <c r="F347" s="3169">
        <v>2151034</v>
      </c>
      <c r="G347" s="3252">
        <f t="shared" si="5"/>
        <v>21605.403776617113</v>
      </c>
    </row>
    <row r="348" spans="1:7">
      <c r="A348" s="2955">
        <v>347</v>
      </c>
      <c r="B348" s="2955" t="s">
        <v>3016</v>
      </c>
      <c r="C348" s="2955" t="s">
        <v>3014</v>
      </c>
      <c r="D348" s="2955" t="s">
        <v>3364</v>
      </c>
      <c r="E348" s="2955">
        <v>99.56</v>
      </c>
      <c r="F348" s="3169">
        <v>2160990</v>
      </c>
      <c r="G348" s="3252">
        <f t="shared" si="5"/>
        <v>21705.403776617113</v>
      </c>
    </row>
    <row r="349" spans="1:7">
      <c r="A349" s="2955">
        <v>348</v>
      </c>
      <c r="B349" s="2955" t="s">
        <v>3016</v>
      </c>
      <c r="C349" s="2955" t="s">
        <v>3014</v>
      </c>
      <c r="D349" s="2955" t="s">
        <v>3365</v>
      </c>
      <c r="E349" s="2955">
        <v>99.56</v>
      </c>
      <c r="F349" s="3169">
        <v>2139086</v>
      </c>
      <c r="G349" s="3252">
        <f t="shared" si="5"/>
        <v>21485.395741261549</v>
      </c>
    </row>
    <row r="350" spans="1:7">
      <c r="A350" s="2955">
        <v>349</v>
      </c>
      <c r="B350" s="2955" t="s">
        <v>3016</v>
      </c>
      <c r="C350" s="2955" t="s">
        <v>3014</v>
      </c>
      <c r="D350" s="2955" t="s">
        <v>3366</v>
      </c>
      <c r="E350" s="2955">
        <v>99.56</v>
      </c>
      <c r="F350" s="3169">
        <v>2133113</v>
      </c>
      <c r="G350" s="3252">
        <f t="shared" si="5"/>
        <v>21425.401767778225</v>
      </c>
    </row>
    <row r="351" spans="1:7">
      <c r="A351" s="2955">
        <v>350</v>
      </c>
      <c r="B351" s="2955" t="s">
        <v>3016</v>
      </c>
      <c r="C351" s="2955" t="s">
        <v>3014</v>
      </c>
      <c r="D351" s="2955" t="s">
        <v>3367</v>
      </c>
      <c r="E351" s="2955">
        <v>99.56</v>
      </c>
      <c r="F351" s="3169">
        <v>2180902</v>
      </c>
      <c r="G351" s="3252">
        <f t="shared" si="5"/>
        <v>21905.403776617113</v>
      </c>
    </row>
    <row r="352" spans="1:7">
      <c r="A352" s="2955">
        <v>351</v>
      </c>
      <c r="B352" s="2955" t="s">
        <v>3016</v>
      </c>
      <c r="C352" s="2955" t="s">
        <v>3014</v>
      </c>
      <c r="D352" s="2955" t="s">
        <v>3368</v>
      </c>
      <c r="E352" s="2955">
        <v>125.33</v>
      </c>
      <c r="F352" s="3169">
        <v>2637620</v>
      </c>
      <c r="G352" s="3252">
        <f t="shared" si="5"/>
        <v>21045.400143620842</v>
      </c>
    </row>
    <row r="353" spans="1:7">
      <c r="A353" s="2955">
        <v>352</v>
      </c>
      <c r="B353" s="2955" t="s">
        <v>3053</v>
      </c>
      <c r="C353" s="2955" t="s">
        <v>3054</v>
      </c>
      <c r="D353" s="2955" t="s">
        <v>3369</v>
      </c>
      <c r="E353" s="2955">
        <v>99.56</v>
      </c>
      <c r="F353" s="3169">
        <v>2160990</v>
      </c>
      <c r="G353" s="3252">
        <f t="shared" si="5"/>
        <v>21705.403776617113</v>
      </c>
    </row>
    <row r="354" spans="1:7">
      <c r="A354" s="2955">
        <v>353</v>
      </c>
      <c r="B354" s="2955" t="s">
        <v>3053</v>
      </c>
      <c r="C354" s="2955" t="s">
        <v>3054</v>
      </c>
      <c r="D354" s="2955" t="s">
        <v>3370</v>
      </c>
      <c r="E354" s="2955">
        <v>99.56</v>
      </c>
      <c r="F354" s="3169">
        <v>2162981</v>
      </c>
      <c r="G354" s="3252">
        <f t="shared" si="5"/>
        <v>21725.401767778225</v>
      </c>
    </row>
    <row r="355" spans="1:7">
      <c r="A355" s="2955">
        <v>354</v>
      </c>
      <c r="B355" s="2955" t="s">
        <v>3053</v>
      </c>
      <c r="C355" s="2955" t="s">
        <v>3054</v>
      </c>
      <c r="D355" s="2955" t="s">
        <v>3371</v>
      </c>
      <c r="E355" s="2955">
        <v>125.33</v>
      </c>
      <c r="F355" s="3169">
        <v>2645140</v>
      </c>
      <c r="G355" s="3252">
        <f t="shared" si="5"/>
        <v>21105.401739407964</v>
      </c>
    </row>
    <row r="356" spans="1:7">
      <c r="A356" s="2955">
        <v>355</v>
      </c>
      <c r="B356" s="2955" t="s">
        <v>3053</v>
      </c>
      <c r="C356" s="2955" t="s">
        <v>3054</v>
      </c>
      <c r="D356" s="2955" t="s">
        <v>3372</v>
      </c>
      <c r="E356" s="2955">
        <v>123.54</v>
      </c>
      <c r="F356" s="3169">
        <v>2632069</v>
      </c>
      <c r="G356" s="3252">
        <f t="shared" si="5"/>
        <v>21305.399061032862</v>
      </c>
    </row>
    <row r="357" spans="1:7">
      <c r="A357" s="2955">
        <v>356</v>
      </c>
      <c r="B357" s="2955" t="s">
        <v>3053</v>
      </c>
      <c r="C357" s="2955" t="s">
        <v>3054</v>
      </c>
      <c r="D357" s="2955" t="s">
        <v>3373</v>
      </c>
      <c r="E357" s="2955">
        <v>123.54</v>
      </c>
      <c r="F357" s="3169">
        <v>2592536</v>
      </c>
      <c r="G357" s="3252">
        <f t="shared" si="5"/>
        <v>20985.397442124009</v>
      </c>
    </row>
    <row r="358" spans="1:7">
      <c r="A358" s="2955">
        <v>357</v>
      </c>
      <c r="B358" s="2955" t="s">
        <v>3016</v>
      </c>
      <c r="C358" s="2955" t="s">
        <v>3014</v>
      </c>
      <c r="D358" s="2955" t="s">
        <v>3374</v>
      </c>
      <c r="E358" s="2955">
        <v>99.56</v>
      </c>
      <c r="F358" s="3169">
        <v>2180902</v>
      </c>
      <c r="G358" s="3252">
        <f t="shared" si="5"/>
        <v>21905.403776617113</v>
      </c>
    </row>
    <row r="359" spans="1:7">
      <c r="A359" s="2955">
        <v>358</v>
      </c>
      <c r="B359" s="2955" t="s">
        <v>3016</v>
      </c>
      <c r="C359" s="2955" t="s">
        <v>3014</v>
      </c>
      <c r="D359" s="2955" t="s">
        <v>3375</v>
      </c>
      <c r="E359" s="2955">
        <v>99.56</v>
      </c>
      <c r="F359" s="3169">
        <v>2157007</v>
      </c>
      <c r="G359" s="3252">
        <f t="shared" si="5"/>
        <v>21665.397750100441</v>
      </c>
    </row>
    <row r="360" spans="1:7">
      <c r="A360" s="2955">
        <v>359</v>
      </c>
      <c r="B360" s="2955" t="s">
        <v>3016</v>
      </c>
      <c r="C360" s="2955" t="s">
        <v>3014</v>
      </c>
      <c r="D360" s="2955" t="s">
        <v>3376</v>
      </c>
      <c r="E360" s="2955">
        <v>99.56</v>
      </c>
      <c r="F360" s="3169">
        <v>2143069</v>
      </c>
      <c r="G360" s="3252">
        <f t="shared" si="5"/>
        <v>21525.401767778225</v>
      </c>
    </row>
    <row r="361" spans="1:7">
      <c r="A361" s="2955">
        <v>360</v>
      </c>
      <c r="B361" s="2955" t="s">
        <v>3016</v>
      </c>
      <c r="C361" s="2955" t="s">
        <v>3014</v>
      </c>
      <c r="D361" s="2955" t="s">
        <v>3377</v>
      </c>
      <c r="E361" s="2955">
        <v>123.54</v>
      </c>
      <c r="F361" s="3169">
        <v>2570299</v>
      </c>
      <c r="G361" s="3252">
        <f t="shared" si="5"/>
        <v>20805.399061032862</v>
      </c>
    </row>
    <row r="362" spans="1:7">
      <c r="A362" s="2955">
        <v>361</v>
      </c>
      <c r="B362" s="2955" t="s">
        <v>3016</v>
      </c>
      <c r="C362" s="2955" t="s">
        <v>3014</v>
      </c>
      <c r="D362" s="2955" t="s">
        <v>3378</v>
      </c>
      <c r="E362" s="2955">
        <v>125.33</v>
      </c>
      <c r="F362" s="3169">
        <v>2660179</v>
      </c>
      <c r="G362" s="3252">
        <f t="shared" si="5"/>
        <v>21225.396952046598</v>
      </c>
    </row>
    <row r="363" spans="1:7">
      <c r="A363" s="2955">
        <v>362</v>
      </c>
      <c r="B363" s="2955" t="s">
        <v>3016</v>
      </c>
      <c r="C363" s="2955" t="s">
        <v>3014</v>
      </c>
      <c r="D363" s="2955" t="s">
        <v>3379</v>
      </c>
      <c r="E363" s="2955">
        <v>125.33</v>
      </c>
      <c r="F363" s="3169">
        <v>2682739</v>
      </c>
      <c r="G363" s="3252">
        <f t="shared" si="5"/>
        <v>21405.401739407964</v>
      </c>
    </row>
    <row r="364" spans="1:7">
      <c r="A364" s="2955">
        <v>363</v>
      </c>
      <c r="B364" s="2955" t="s">
        <v>3016</v>
      </c>
      <c r="C364" s="2955" t="s">
        <v>3014</v>
      </c>
      <c r="D364" s="2955" t="s">
        <v>3380</v>
      </c>
      <c r="E364" s="2955">
        <v>123.54</v>
      </c>
      <c r="F364" s="3169">
        <v>2632069</v>
      </c>
      <c r="G364" s="3252">
        <f t="shared" si="5"/>
        <v>21305.399061032862</v>
      </c>
    </row>
    <row r="365" spans="1:7">
      <c r="A365" s="2955">
        <v>364</v>
      </c>
      <c r="B365" s="2955" t="s">
        <v>3016</v>
      </c>
      <c r="C365" s="2955" t="s">
        <v>3014</v>
      </c>
      <c r="D365" s="2955" t="s">
        <v>3381</v>
      </c>
      <c r="E365" s="2955">
        <v>99.56</v>
      </c>
      <c r="F365" s="3169">
        <v>2170946</v>
      </c>
      <c r="G365" s="3252">
        <f t="shared" si="5"/>
        <v>21805.403776617113</v>
      </c>
    </row>
    <row r="366" spans="1:7">
      <c r="A366" s="2955">
        <v>365</v>
      </c>
      <c r="B366" s="2955" t="s">
        <v>3053</v>
      </c>
      <c r="C366" s="2955" t="s">
        <v>3054</v>
      </c>
      <c r="D366" s="2955" t="s">
        <v>3382</v>
      </c>
      <c r="E366" s="2955">
        <v>125.54</v>
      </c>
      <c r="F366" s="3169">
        <v>2637018</v>
      </c>
      <c r="G366" s="3252">
        <f t="shared" si="5"/>
        <v>21005.400669109447</v>
      </c>
    </row>
    <row r="367" spans="1:7">
      <c r="A367" s="2955">
        <v>366</v>
      </c>
      <c r="B367" s="2955" t="s">
        <v>3053</v>
      </c>
      <c r="C367" s="2955" t="s">
        <v>3054</v>
      </c>
      <c r="D367" s="2955" t="s">
        <v>3383</v>
      </c>
      <c r="E367" s="2955">
        <v>125.54</v>
      </c>
      <c r="F367" s="3169">
        <v>2624464</v>
      </c>
      <c r="G367" s="3252">
        <f t="shared" si="5"/>
        <v>20905.400669109447</v>
      </c>
    </row>
    <row r="368" spans="1:7">
      <c r="A368" s="2955">
        <v>367</v>
      </c>
      <c r="B368" s="2955" t="s">
        <v>3053</v>
      </c>
      <c r="C368" s="2955" t="s">
        <v>3054</v>
      </c>
      <c r="D368" s="2955" t="s">
        <v>3384</v>
      </c>
      <c r="E368" s="2955">
        <v>99.72</v>
      </c>
      <c r="F368" s="3169">
        <v>2144518</v>
      </c>
      <c r="G368" s="3252">
        <f t="shared" si="5"/>
        <v>21505.395106297634</v>
      </c>
    </row>
    <row r="369" spans="1:7">
      <c r="A369" s="2955">
        <v>368</v>
      </c>
      <c r="B369" s="2955" t="s">
        <v>3053</v>
      </c>
      <c r="C369" s="2955" t="s">
        <v>3054</v>
      </c>
      <c r="D369" s="2955" t="s">
        <v>3385</v>
      </c>
      <c r="E369" s="2955">
        <v>99.72</v>
      </c>
      <c r="F369" s="3169">
        <v>2154490</v>
      </c>
      <c r="G369" s="3252">
        <f t="shared" si="5"/>
        <v>21605.395106297634</v>
      </c>
    </row>
    <row r="370" spans="1:7">
      <c r="A370" s="2955">
        <v>369</v>
      </c>
      <c r="B370" s="2955" t="s">
        <v>3053</v>
      </c>
      <c r="C370" s="2955" t="s">
        <v>3054</v>
      </c>
      <c r="D370" s="2955" t="s">
        <v>3386</v>
      </c>
      <c r="E370" s="2955">
        <v>123.75</v>
      </c>
      <c r="F370" s="3169">
        <v>2611793</v>
      </c>
      <c r="G370" s="3252">
        <f t="shared" si="5"/>
        <v>21105.397979797981</v>
      </c>
    </row>
    <row r="371" spans="1:7">
      <c r="A371" s="2955">
        <v>370</v>
      </c>
      <c r="B371" s="2955" t="s">
        <v>3053</v>
      </c>
      <c r="C371" s="2955" t="s">
        <v>3054</v>
      </c>
      <c r="D371" s="2955" t="s">
        <v>3387</v>
      </c>
      <c r="E371" s="2955">
        <v>99.72</v>
      </c>
      <c r="F371" s="3169">
        <v>2134546</v>
      </c>
      <c r="G371" s="3252">
        <f t="shared" si="5"/>
        <v>21405.395106297634</v>
      </c>
    </row>
    <row r="372" spans="1:7">
      <c r="A372" s="2955">
        <v>371</v>
      </c>
      <c r="B372" s="2955" t="s">
        <v>3053</v>
      </c>
      <c r="C372" s="2955" t="s">
        <v>3054</v>
      </c>
      <c r="D372" s="2955" t="s">
        <v>3388</v>
      </c>
      <c r="E372" s="2955">
        <v>99.72</v>
      </c>
      <c r="F372" s="3169">
        <v>2118591</v>
      </c>
      <c r="G372" s="3252">
        <f t="shared" si="5"/>
        <v>21245.397111913357</v>
      </c>
    </row>
    <row r="373" spans="1:7">
      <c r="A373" s="2955">
        <v>372</v>
      </c>
      <c r="B373" s="2955" t="s">
        <v>3053</v>
      </c>
      <c r="C373" s="2955" t="s">
        <v>3054</v>
      </c>
      <c r="D373" s="2955" t="s">
        <v>3389</v>
      </c>
      <c r="E373" s="2955">
        <v>99.72</v>
      </c>
      <c r="F373" s="3169">
        <v>2112608</v>
      </c>
      <c r="G373" s="3252">
        <f t="shared" si="5"/>
        <v>21185.399117529083</v>
      </c>
    </row>
    <row r="374" spans="1:7">
      <c r="A374" s="2955">
        <v>373</v>
      </c>
      <c r="B374" s="2955" t="s">
        <v>3053</v>
      </c>
      <c r="C374" s="2955" t="s">
        <v>3054</v>
      </c>
      <c r="D374" s="2955" t="s">
        <v>3390</v>
      </c>
      <c r="E374" s="2955">
        <v>125.54</v>
      </c>
      <c r="F374" s="3169">
        <v>2574248</v>
      </c>
      <c r="G374" s="3252">
        <f t="shared" si="5"/>
        <v>20505.400669109447</v>
      </c>
    </row>
    <row r="375" spans="1:7">
      <c r="A375" s="2955">
        <v>374</v>
      </c>
      <c r="B375" s="2955" t="s">
        <v>3053</v>
      </c>
      <c r="C375" s="2955" t="s">
        <v>3054</v>
      </c>
      <c r="D375" s="2955" t="s">
        <v>3391</v>
      </c>
      <c r="E375" s="2955">
        <v>99.72</v>
      </c>
      <c r="F375" s="3169">
        <v>2104630</v>
      </c>
      <c r="G375" s="3252">
        <f t="shared" si="5"/>
        <v>21105.395106297634</v>
      </c>
    </row>
    <row r="376" spans="1:7">
      <c r="A376" s="2955">
        <v>375</v>
      </c>
      <c r="B376" s="2955" t="s">
        <v>3053</v>
      </c>
      <c r="C376" s="2955" t="s">
        <v>3054</v>
      </c>
      <c r="D376" s="2955" t="s">
        <v>3392</v>
      </c>
      <c r="E376" s="2955">
        <v>99.72</v>
      </c>
      <c r="F376" s="3169">
        <v>2154490</v>
      </c>
      <c r="G376" s="3252">
        <f t="shared" si="5"/>
        <v>21605.395106297634</v>
      </c>
    </row>
    <row r="377" spans="1:7">
      <c r="A377" s="2955">
        <v>376</v>
      </c>
      <c r="B377" s="2955" t="s">
        <v>3053</v>
      </c>
      <c r="C377" s="2955" t="s">
        <v>3054</v>
      </c>
      <c r="D377" s="2955" t="s">
        <v>3393</v>
      </c>
      <c r="E377" s="2955">
        <v>123.75</v>
      </c>
      <c r="F377" s="3169">
        <v>2636543</v>
      </c>
      <c r="G377" s="3252">
        <f t="shared" si="5"/>
        <v>21305.397979797981</v>
      </c>
    </row>
    <row r="378" spans="1:7">
      <c r="A378" s="2955">
        <v>377</v>
      </c>
      <c r="B378" s="2955" t="s">
        <v>3053</v>
      </c>
      <c r="C378" s="2955" t="s">
        <v>3054</v>
      </c>
      <c r="D378" s="2955" t="s">
        <v>3394</v>
      </c>
      <c r="E378" s="2955">
        <v>123.75</v>
      </c>
      <c r="F378" s="3169">
        <v>2599418</v>
      </c>
      <c r="G378" s="3252">
        <f t="shared" si="5"/>
        <v>21005.397979797981</v>
      </c>
    </row>
    <row r="379" spans="1:7">
      <c r="A379" s="2955">
        <v>378</v>
      </c>
      <c r="B379" s="2955" t="s">
        <v>3053</v>
      </c>
      <c r="C379" s="2955" t="s">
        <v>3054</v>
      </c>
      <c r="D379" s="2955" t="s">
        <v>3395</v>
      </c>
      <c r="E379" s="2955">
        <v>99.72</v>
      </c>
      <c r="F379" s="3169">
        <v>2154490</v>
      </c>
      <c r="G379" s="3252">
        <f t="shared" si="5"/>
        <v>21605.395106297634</v>
      </c>
    </row>
    <row r="380" spans="1:7">
      <c r="A380" s="2955">
        <v>379</v>
      </c>
      <c r="B380" s="2955" t="s">
        <v>3053</v>
      </c>
      <c r="C380" s="2955" t="s">
        <v>3054</v>
      </c>
      <c r="D380" s="2955" t="s">
        <v>3396</v>
      </c>
      <c r="E380" s="2955">
        <v>99.72</v>
      </c>
      <c r="F380" s="3169">
        <v>2122580</v>
      </c>
      <c r="G380" s="3252">
        <f t="shared" si="5"/>
        <v>21285.399117529083</v>
      </c>
    </row>
    <row r="381" spans="1:7">
      <c r="A381" s="2955">
        <v>380</v>
      </c>
      <c r="B381" s="2955" t="s">
        <v>3053</v>
      </c>
      <c r="C381" s="2955" t="s">
        <v>3054</v>
      </c>
      <c r="D381" s="2955" t="s">
        <v>3397</v>
      </c>
      <c r="E381" s="2955">
        <v>99.72</v>
      </c>
      <c r="F381" s="3169">
        <v>2114602</v>
      </c>
      <c r="G381" s="3252">
        <f t="shared" si="5"/>
        <v>21205.395106297634</v>
      </c>
    </row>
    <row r="382" spans="1:7">
      <c r="A382" s="2955">
        <v>381</v>
      </c>
      <c r="B382" s="2955" t="s">
        <v>3053</v>
      </c>
      <c r="C382" s="2955" t="s">
        <v>3054</v>
      </c>
      <c r="D382" s="2955" t="s">
        <v>3398</v>
      </c>
      <c r="E382" s="2955">
        <v>123.75</v>
      </c>
      <c r="F382" s="3169">
        <v>2648918</v>
      </c>
      <c r="G382" s="3252">
        <f t="shared" si="5"/>
        <v>21405.397979797981</v>
      </c>
    </row>
    <row r="383" spans="1:7">
      <c r="A383" s="2955">
        <v>382</v>
      </c>
      <c r="B383" s="2955" t="s">
        <v>3053</v>
      </c>
      <c r="C383" s="2955" t="s">
        <v>3054</v>
      </c>
      <c r="D383" s="2955" t="s">
        <v>3399</v>
      </c>
      <c r="E383" s="2955">
        <v>99.72</v>
      </c>
      <c r="F383" s="3169">
        <v>2124574</v>
      </c>
      <c r="G383" s="3252">
        <f t="shared" si="5"/>
        <v>21305.395106297634</v>
      </c>
    </row>
    <row r="384" spans="1:7">
      <c r="A384" s="2955">
        <v>383</v>
      </c>
      <c r="B384" s="2955" t="s">
        <v>3053</v>
      </c>
      <c r="C384" s="2955" t="s">
        <v>3054</v>
      </c>
      <c r="D384" s="2955" t="s">
        <v>3400</v>
      </c>
      <c r="E384" s="2955">
        <v>99.72</v>
      </c>
      <c r="F384" s="3169">
        <v>2084686</v>
      </c>
      <c r="G384" s="3252">
        <f t="shared" si="5"/>
        <v>20905.395106297634</v>
      </c>
    </row>
    <row r="385" spans="1:7">
      <c r="A385" s="2955">
        <v>384</v>
      </c>
      <c r="B385" s="2955" t="s">
        <v>3053</v>
      </c>
      <c r="C385" s="2955" t="s">
        <v>3054</v>
      </c>
      <c r="D385" s="2955" t="s">
        <v>3401</v>
      </c>
      <c r="E385" s="2955">
        <v>125.54</v>
      </c>
      <c r="F385" s="3169">
        <v>2662126</v>
      </c>
      <c r="G385" s="3252">
        <f t="shared" si="5"/>
        <v>21205.400669109447</v>
      </c>
    </row>
    <row r="386" spans="1:7">
      <c r="A386" s="2955">
        <v>385</v>
      </c>
      <c r="B386" s="2955" t="s">
        <v>3053</v>
      </c>
      <c r="C386" s="2955" t="s">
        <v>3054</v>
      </c>
      <c r="D386" s="2955" t="s">
        <v>3402</v>
      </c>
      <c r="E386" s="2955">
        <v>123.75</v>
      </c>
      <c r="F386" s="3169">
        <v>2624168</v>
      </c>
      <c r="G386" s="3252">
        <f t="shared" si="5"/>
        <v>21205.397979797981</v>
      </c>
    </row>
    <row r="387" spans="1:7">
      <c r="A387" s="2955">
        <v>386</v>
      </c>
      <c r="B387" s="2955" t="s">
        <v>3053</v>
      </c>
      <c r="C387" s="2955" t="s">
        <v>3054</v>
      </c>
      <c r="D387" s="2955" t="s">
        <v>3403</v>
      </c>
      <c r="E387" s="2955">
        <v>99.72</v>
      </c>
      <c r="F387" s="3169">
        <v>2094658</v>
      </c>
      <c r="G387" s="3252">
        <f t="shared" ref="G387:G450" si="6">F387/E387</f>
        <v>21005.395106297634</v>
      </c>
    </row>
    <row r="388" spans="1:7">
      <c r="A388" s="2955">
        <v>387</v>
      </c>
      <c r="B388" s="2955" t="s">
        <v>3053</v>
      </c>
      <c r="C388" s="2955" t="s">
        <v>3054</v>
      </c>
      <c r="D388" s="2955" t="s">
        <v>3404</v>
      </c>
      <c r="E388" s="2955">
        <v>125.54</v>
      </c>
      <c r="F388" s="3169">
        <v>2586802</v>
      </c>
      <c r="G388" s="3252">
        <f t="shared" si="6"/>
        <v>20605.400669109447</v>
      </c>
    </row>
    <row r="389" spans="1:7">
      <c r="A389" s="2955">
        <v>388</v>
      </c>
      <c r="B389" s="2955" t="s">
        <v>3053</v>
      </c>
      <c r="C389" s="2955" t="s">
        <v>3054</v>
      </c>
      <c r="D389" s="2955" t="s">
        <v>3405</v>
      </c>
      <c r="E389" s="2955">
        <v>99.72</v>
      </c>
      <c r="F389" s="3169">
        <v>2154490</v>
      </c>
      <c r="G389" s="3252">
        <f t="shared" si="6"/>
        <v>21605.395106297634</v>
      </c>
    </row>
    <row r="390" spans="1:7">
      <c r="A390" s="2955">
        <v>389</v>
      </c>
      <c r="B390" s="2955" t="s">
        <v>3053</v>
      </c>
      <c r="C390" s="2955" t="s">
        <v>3054</v>
      </c>
      <c r="D390" s="2955" t="s">
        <v>3406</v>
      </c>
      <c r="E390" s="2955">
        <v>99.72</v>
      </c>
      <c r="F390" s="3169">
        <v>2144518</v>
      </c>
      <c r="G390" s="3252">
        <f t="shared" si="6"/>
        <v>21505.395106297634</v>
      </c>
    </row>
    <row r="391" spans="1:7">
      <c r="A391" s="2955">
        <v>390</v>
      </c>
      <c r="B391" s="2955" t="s">
        <v>3053</v>
      </c>
      <c r="C391" s="2955" t="s">
        <v>3054</v>
      </c>
      <c r="D391" s="2955" t="s">
        <v>3407</v>
      </c>
      <c r="E391" s="2955">
        <v>99.72</v>
      </c>
      <c r="F391" s="3169">
        <v>2164462</v>
      </c>
      <c r="G391" s="3252">
        <f t="shared" si="6"/>
        <v>21705.395106297634</v>
      </c>
    </row>
    <row r="392" spans="1:7">
      <c r="A392" s="2955">
        <v>391</v>
      </c>
      <c r="B392" s="2955" t="s">
        <v>3053</v>
      </c>
      <c r="C392" s="2955" t="s">
        <v>3054</v>
      </c>
      <c r="D392" s="2955" t="s">
        <v>3408</v>
      </c>
      <c r="E392" s="2955">
        <v>99.72</v>
      </c>
      <c r="F392" s="3169">
        <v>2094658</v>
      </c>
      <c r="G392" s="3252">
        <f t="shared" si="6"/>
        <v>21005.395106297634</v>
      </c>
    </row>
    <row r="393" spans="1:7">
      <c r="A393" s="2955">
        <v>392</v>
      </c>
      <c r="B393" s="2955" t="s">
        <v>3053</v>
      </c>
      <c r="C393" s="2955" t="s">
        <v>3054</v>
      </c>
      <c r="D393" s="2955" t="s">
        <v>3409</v>
      </c>
      <c r="E393" s="2955">
        <v>99.72</v>
      </c>
      <c r="F393" s="3169">
        <v>2124574</v>
      </c>
      <c r="G393" s="3252">
        <f t="shared" si="6"/>
        <v>21305.395106297634</v>
      </c>
    </row>
    <row r="394" spans="1:7">
      <c r="A394" s="2955">
        <v>393</v>
      </c>
      <c r="B394" s="2955" t="s">
        <v>3053</v>
      </c>
      <c r="C394" s="2955" t="s">
        <v>3054</v>
      </c>
      <c r="D394" s="2955" t="s">
        <v>3410</v>
      </c>
      <c r="E394" s="2955">
        <v>99.72</v>
      </c>
      <c r="F394" s="3169">
        <v>2146513</v>
      </c>
      <c r="G394" s="3252">
        <f t="shared" si="6"/>
        <v>21525.401123144806</v>
      </c>
    </row>
    <row r="395" spans="1:7">
      <c r="A395" s="2955">
        <v>394</v>
      </c>
      <c r="B395" s="2955" t="s">
        <v>3053</v>
      </c>
      <c r="C395" s="2955" t="s">
        <v>3054</v>
      </c>
      <c r="D395" s="2955" t="s">
        <v>3411</v>
      </c>
      <c r="E395" s="2955">
        <v>99.72</v>
      </c>
      <c r="F395" s="3169">
        <v>2134546</v>
      </c>
      <c r="G395" s="3252">
        <f t="shared" si="6"/>
        <v>21405.395106297634</v>
      </c>
    </row>
    <row r="396" spans="1:7">
      <c r="A396" s="2955">
        <v>395</v>
      </c>
      <c r="B396" s="2955" t="s">
        <v>3053</v>
      </c>
      <c r="C396" s="2955" t="s">
        <v>3054</v>
      </c>
      <c r="D396" s="2955" t="s">
        <v>3412</v>
      </c>
      <c r="E396" s="2955">
        <v>99.72</v>
      </c>
      <c r="F396" s="3169">
        <v>2154490</v>
      </c>
      <c r="G396" s="3252">
        <f t="shared" si="6"/>
        <v>21605.395106297634</v>
      </c>
    </row>
    <row r="397" spans="1:7">
      <c r="A397" s="2955">
        <v>396</v>
      </c>
      <c r="B397" s="2955" t="s">
        <v>3053</v>
      </c>
      <c r="C397" s="2955" t="s">
        <v>3054</v>
      </c>
      <c r="D397" s="2955" t="s">
        <v>3413</v>
      </c>
      <c r="E397" s="2955">
        <v>125.54</v>
      </c>
      <c r="F397" s="3169">
        <v>2649572</v>
      </c>
      <c r="G397" s="3252">
        <f t="shared" si="6"/>
        <v>21105.400669109447</v>
      </c>
    </row>
    <row r="398" spans="1:7">
      <c r="A398" s="2955">
        <v>397</v>
      </c>
      <c r="B398" s="2955" t="s">
        <v>3053</v>
      </c>
      <c r="C398" s="2955" t="s">
        <v>3054</v>
      </c>
      <c r="D398" s="2955" t="s">
        <v>3414</v>
      </c>
      <c r="E398" s="2955">
        <v>99.72</v>
      </c>
      <c r="F398" s="3169">
        <v>2164462</v>
      </c>
      <c r="G398" s="3252">
        <f t="shared" si="6"/>
        <v>21705.395106297634</v>
      </c>
    </row>
    <row r="399" spans="1:7">
      <c r="A399" s="2955">
        <v>398</v>
      </c>
      <c r="B399" s="2955" t="s">
        <v>3053</v>
      </c>
      <c r="C399" s="2955" t="s">
        <v>3054</v>
      </c>
      <c r="D399" s="2955" t="s">
        <v>3415</v>
      </c>
      <c r="E399" s="2955">
        <v>99.72</v>
      </c>
      <c r="F399" s="3169">
        <v>2134546</v>
      </c>
      <c r="G399" s="3252">
        <f t="shared" si="6"/>
        <v>21405.395106297634</v>
      </c>
    </row>
    <row r="400" spans="1:7">
      <c r="A400" s="2955">
        <v>399</v>
      </c>
      <c r="B400" s="2955" t="s">
        <v>3053</v>
      </c>
      <c r="C400" s="2955" t="s">
        <v>3054</v>
      </c>
      <c r="D400" s="2955" t="s">
        <v>3416</v>
      </c>
      <c r="E400" s="2955">
        <v>99.72</v>
      </c>
      <c r="F400" s="3169">
        <v>2110614</v>
      </c>
      <c r="G400" s="3252">
        <f t="shared" si="6"/>
        <v>21165.403128760528</v>
      </c>
    </row>
    <row r="401" spans="1:7">
      <c r="A401" s="2955">
        <v>400</v>
      </c>
      <c r="B401" s="2955" t="s">
        <v>3053</v>
      </c>
      <c r="C401" s="2955" t="s">
        <v>3054</v>
      </c>
      <c r="D401" s="2955" t="s">
        <v>3417</v>
      </c>
      <c r="E401" s="2955">
        <v>99.72</v>
      </c>
      <c r="F401" s="3169">
        <v>2106625</v>
      </c>
      <c r="G401" s="3252">
        <f t="shared" si="6"/>
        <v>21125.401123144806</v>
      </c>
    </row>
    <row r="402" spans="1:7">
      <c r="A402" s="2955">
        <v>401</v>
      </c>
      <c r="B402" s="2955" t="s">
        <v>3053</v>
      </c>
      <c r="C402" s="2955" t="s">
        <v>3054</v>
      </c>
      <c r="D402" s="2955" t="s">
        <v>3418</v>
      </c>
      <c r="E402" s="2955">
        <v>99.72</v>
      </c>
      <c r="F402" s="3169">
        <v>2130558</v>
      </c>
      <c r="G402" s="3252">
        <f t="shared" si="6"/>
        <v>21365.403128760528</v>
      </c>
    </row>
    <row r="403" spans="1:7">
      <c r="A403" s="2955">
        <v>402</v>
      </c>
      <c r="B403" s="2955" t="s">
        <v>3053</v>
      </c>
      <c r="C403" s="2955" t="s">
        <v>3054</v>
      </c>
      <c r="D403" s="2955" t="s">
        <v>3419</v>
      </c>
      <c r="E403" s="2955">
        <v>99.72</v>
      </c>
      <c r="F403" s="3169">
        <v>2140530</v>
      </c>
      <c r="G403" s="3252">
        <f t="shared" si="6"/>
        <v>21465.403128760528</v>
      </c>
    </row>
    <row r="404" spans="1:7">
      <c r="A404" s="2955">
        <v>403</v>
      </c>
      <c r="B404" s="2955" t="s">
        <v>3053</v>
      </c>
      <c r="C404" s="2955" t="s">
        <v>3054</v>
      </c>
      <c r="D404" s="2955" t="s">
        <v>3420</v>
      </c>
      <c r="E404" s="2955">
        <v>123.75</v>
      </c>
      <c r="F404" s="3169">
        <v>2611793</v>
      </c>
      <c r="G404" s="3252">
        <f t="shared" si="6"/>
        <v>21105.397979797981</v>
      </c>
    </row>
    <row r="405" spans="1:7">
      <c r="A405" s="2955">
        <v>404</v>
      </c>
      <c r="B405" s="2955" t="s">
        <v>3053</v>
      </c>
      <c r="C405" s="2955" t="s">
        <v>3054</v>
      </c>
      <c r="D405" s="2955" t="s">
        <v>3421</v>
      </c>
      <c r="E405" s="2955">
        <v>99.72</v>
      </c>
      <c r="F405" s="3169">
        <v>2136541</v>
      </c>
      <c r="G405" s="3252">
        <f t="shared" si="6"/>
        <v>21425.401123144806</v>
      </c>
    </row>
    <row r="406" spans="1:7">
      <c r="A406" s="2955">
        <v>405</v>
      </c>
      <c r="B406" s="2955" t="s">
        <v>3053</v>
      </c>
      <c r="C406" s="2955" t="s">
        <v>3054</v>
      </c>
      <c r="D406" s="2955" t="s">
        <v>3422</v>
      </c>
      <c r="E406" s="2955">
        <v>123.75</v>
      </c>
      <c r="F406" s="3169">
        <v>2648918</v>
      </c>
      <c r="G406" s="3252">
        <f t="shared" si="6"/>
        <v>21405.397979797981</v>
      </c>
    </row>
    <row r="407" spans="1:7">
      <c r="A407" s="2955">
        <v>406</v>
      </c>
      <c r="B407" s="2955" t="s">
        <v>3053</v>
      </c>
      <c r="C407" s="2955" t="s">
        <v>3054</v>
      </c>
      <c r="D407" s="2955" t="s">
        <v>3423</v>
      </c>
      <c r="E407" s="2955">
        <v>123.75</v>
      </c>
      <c r="F407" s="3169">
        <v>2626643</v>
      </c>
      <c r="G407" s="3252">
        <f t="shared" si="6"/>
        <v>21225.397979797981</v>
      </c>
    </row>
    <row r="408" spans="1:7">
      <c r="A408" s="2955">
        <v>407</v>
      </c>
      <c r="B408" s="2955" t="s">
        <v>3053</v>
      </c>
      <c r="C408" s="2955" t="s">
        <v>3054</v>
      </c>
      <c r="D408" s="2955" t="s">
        <v>3424</v>
      </c>
      <c r="E408" s="2955">
        <v>99.72</v>
      </c>
      <c r="F408" s="3169">
        <v>2074714</v>
      </c>
      <c r="G408" s="3252">
        <f t="shared" si="6"/>
        <v>20805.395106297634</v>
      </c>
    </row>
    <row r="409" spans="1:7">
      <c r="A409" s="2955">
        <v>408</v>
      </c>
      <c r="B409" s="2955" t="s">
        <v>3053</v>
      </c>
      <c r="C409" s="2955" t="s">
        <v>3054</v>
      </c>
      <c r="D409" s="2955" t="s">
        <v>3425</v>
      </c>
      <c r="E409" s="2955">
        <v>123.53</v>
      </c>
      <c r="F409" s="3169">
        <v>2617032</v>
      </c>
      <c r="G409" s="3252">
        <f t="shared" si="6"/>
        <v>21185.396260017809</v>
      </c>
    </row>
    <row r="410" spans="1:7">
      <c r="A410" s="2955">
        <v>409</v>
      </c>
      <c r="B410" s="2955" t="s">
        <v>3053</v>
      </c>
      <c r="C410" s="2955" t="s">
        <v>3054</v>
      </c>
      <c r="D410" s="2955" t="s">
        <v>3426</v>
      </c>
      <c r="E410" s="2955">
        <v>99.56</v>
      </c>
      <c r="F410" s="3169">
        <v>2101254</v>
      </c>
      <c r="G410" s="3252">
        <f t="shared" si="6"/>
        <v>21105.403776617113</v>
      </c>
    </row>
    <row r="411" spans="1:7">
      <c r="A411" s="2955">
        <v>410</v>
      </c>
      <c r="B411" s="2955" t="s">
        <v>3053</v>
      </c>
      <c r="C411" s="2955" t="s">
        <v>3054</v>
      </c>
      <c r="D411" s="2955" t="s">
        <v>3427</v>
      </c>
      <c r="E411" s="2955">
        <v>99.39</v>
      </c>
      <c r="F411" s="3169">
        <v>2077788</v>
      </c>
      <c r="G411" s="3252">
        <f t="shared" si="6"/>
        <v>20905.402958044069</v>
      </c>
    </row>
    <row r="412" spans="1:7">
      <c r="A412" s="2955">
        <v>411</v>
      </c>
      <c r="B412" s="2955" t="s">
        <v>3053</v>
      </c>
      <c r="C412" s="2955" t="s">
        <v>3054</v>
      </c>
      <c r="D412" s="2955" t="s">
        <v>3428</v>
      </c>
      <c r="E412" s="2955">
        <v>123.53</v>
      </c>
      <c r="F412" s="3169">
        <v>2631856</v>
      </c>
      <c r="G412" s="3252">
        <f t="shared" si="6"/>
        <v>21305.399498097628</v>
      </c>
    </row>
    <row r="413" spans="1:7">
      <c r="A413" s="2955">
        <v>412</v>
      </c>
      <c r="B413" s="2955" t="s">
        <v>3053</v>
      </c>
      <c r="C413" s="2955" t="s">
        <v>3054</v>
      </c>
      <c r="D413" s="2955" t="s">
        <v>3429</v>
      </c>
      <c r="E413" s="2955">
        <v>99.55</v>
      </c>
      <c r="F413" s="3169">
        <v>2081133</v>
      </c>
      <c r="G413" s="3252">
        <f t="shared" si="6"/>
        <v>20905.404319437468</v>
      </c>
    </row>
    <row r="414" spans="1:7">
      <c r="A414" s="2955">
        <v>413</v>
      </c>
      <c r="B414" s="2955" t="s">
        <v>3053</v>
      </c>
      <c r="C414" s="2955" t="s">
        <v>3054</v>
      </c>
      <c r="D414" s="2955" t="s">
        <v>3430</v>
      </c>
      <c r="E414" s="2955">
        <v>99.39</v>
      </c>
      <c r="F414" s="3169">
        <v>2028093</v>
      </c>
      <c r="G414" s="3252">
        <f t="shared" si="6"/>
        <v>20405.402958044069</v>
      </c>
    </row>
    <row r="415" spans="1:7">
      <c r="A415" s="2955">
        <v>414</v>
      </c>
      <c r="B415" s="2955" t="s">
        <v>3053</v>
      </c>
      <c r="C415" s="2955" t="s">
        <v>3054</v>
      </c>
      <c r="D415" s="2955" t="s">
        <v>3431</v>
      </c>
      <c r="E415" s="2955">
        <v>123.53</v>
      </c>
      <c r="F415" s="3169">
        <v>2631856</v>
      </c>
      <c r="G415" s="3252">
        <f t="shared" si="6"/>
        <v>21305.399498097628</v>
      </c>
    </row>
    <row r="416" spans="1:7">
      <c r="A416" s="2955">
        <v>415</v>
      </c>
      <c r="B416" s="2955" t="s">
        <v>3053</v>
      </c>
      <c r="C416" s="2955" t="s">
        <v>3054</v>
      </c>
      <c r="D416" s="2955" t="s">
        <v>3432</v>
      </c>
      <c r="E416" s="2955">
        <v>99.56</v>
      </c>
      <c r="F416" s="3169">
        <v>2162981</v>
      </c>
      <c r="G416" s="3252">
        <f t="shared" si="6"/>
        <v>21725.401767778225</v>
      </c>
    </row>
    <row r="417" spans="1:7">
      <c r="A417" s="2955">
        <v>416</v>
      </c>
      <c r="B417" s="2955" t="s">
        <v>3053</v>
      </c>
      <c r="C417" s="2955" t="s">
        <v>3054</v>
      </c>
      <c r="D417" s="2955" t="s">
        <v>3433</v>
      </c>
      <c r="E417" s="2955">
        <v>99.39</v>
      </c>
      <c r="F417" s="3169">
        <v>2008215</v>
      </c>
      <c r="G417" s="3252">
        <f t="shared" si="6"/>
        <v>20205.402958044069</v>
      </c>
    </row>
    <row r="418" spans="1:7">
      <c r="A418" s="2955">
        <v>417</v>
      </c>
      <c r="B418" s="2955" t="s">
        <v>3053</v>
      </c>
      <c r="C418" s="2955" t="s">
        <v>3054</v>
      </c>
      <c r="D418" s="2955" t="s">
        <v>3434</v>
      </c>
      <c r="E418" s="2955">
        <v>122.15</v>
      </c>
      <c r="F418" s="3169">
        <v>2516950</v>
      </c>
      <c r="G418" s="3252">
        <f t="shared" si="6"/>
        <v>20605.40319279574</v>
      </c>
    </row>
    <row r="419" spans="1:7">
      <c r="A419" s="2955">
        <v>418</v>
      </c>
      <c r="B419" s="2955" t="s">
        <v>3053</v>
      </c>
      <c r="C419" s="2955" t="s">
        <v>3054</v>
      </c>
      <c r="D419" s="2955" t="s">
        <v>3435</v>
      </c>
      <c r="E419" s="2955">
        <v>99.55</v>
      </c>
      <c r="F419" s="3169">
        <v>2126926</v>
      </c>
      <c r="G419" s="3252">
        <f t="shared" si="6"/>
        <v>21365.404319437468</v>
      </c>
    </row>
    <row r="420" spans="1:7">
      <c r="A420" s="2955">
        <v>419</v>
      </c>
      <c r="B420" s="2955" t="s">
        <v>3053</v>
      </c>
      <c r="C420" s="2955" t="s">
        <v>3054</v>
      </c>
      <c r="D420" s="2955" t="s">
        <v>3436</v>
      </c>
      <c r="E420" s="2955">
        <v>123.75</v>
      </c>
      <c r="F420" s="3169">
        <v>2626643</v>
      </c>
      <c r="G420" s="3252">
        <f t="shared" si="6"/>
        <v>21225.397979797981</v>
      </c>
    </row>
    <row r="421" spans="1:7">
      <c r="A421" s="2955">
        <v>420</v>
      </c>
      <c r="B421" s="2955" t="s">
        <v>3053</v>
      </c>
      <c r="C421" s="2955" t="s">
        <v>3054</v>
      </c>
      <c r="D421" s="2955" t="s">
        <v>3437</v>
      </c>
      <c r="E421" s="2955">
        <v>99.39</v>
      </c>
      <c r="F421" s="3169">
        <v>2057910</v>
      </c>
      <c r="G421" s="3252">
        <f t="shared" si="6"/>
        <v>20705.402958044069</v>
      </c>
    </row>
    <row r="422" spans="1:7">
      <c r="A422" s="2955">
        <v>421</v>
      </c>
      <c r="B422" s="2955" t="s">
        <v>3053</v>
      </c>
      <c r="C422" s="2955" t="s">
        <v>3054</v>
      </c>
      <c r="D422" s="2955" t="s">
        <v>3438</v>
      </c>
      <c r="E422" s="2955">
        <v>99.39</v>
      </c>
      <c r="F422" s="3169">
        <v>2059898</v>
      </c>
      <c r="G422" s="3252">
        <f t="shared" si="6"/>
        <v>20725.404970318945</v>
      </c>
    </row>
    <row r="423" spans="1:7">
      <c r="A423" s="2955">
        <v>422</v>
      </c>
      <c r="B423" s="2955" t="s">
        <v>3053</v>
      </c>
      <c r="C423" s="2955" t="s">
        <v>3054</v>
      </c>
      <c r="D423" s="2955" t="s">
        <v>3439</v>
      </c>
      <c r="E423" s="2955">
        <v>99.55</v>
      </c>
      <c r="F423" s="3169">
        <v>2140863</v>
      </c>
      <c r="G423" s="3252">
        <f t="shared" si="6"/>
        <v>21505.404319437468</v>
      </c>
    </row>
    <row r="424" spans="1:7">
      <c r="A424" s="2955">
        <v>423</v>
      </c>
      <c r="B424" s="2955" t="s">
        <v>3053</v>
      </c>
      <c r="C424" s="2955" t="s">
        <v>3054</v>
      </c>
      <c r="D424" s="2955" t="s">
        <v>3440</v>
      </c>
      <c r="E424" s="2955">
        <v>125.54</v>
      </c>
      <c r="F424" s="3169">
        <v>2616932</v>
      </c>
      <c r="G424" s="3252">
        <f t="shared" si="6"/>
        <v>20845.40385534491</v>
      </c>
    </row>
    <row r="425" spans="1:7">
      <c r="A425" s="2955">
        <v>424</v>
      </c>
      <c r="B425" s="2955" t="s">
        <v>3053</v>
      </c>
      <c r="C425" s="2955" t="s">
        <v>3054</v>
      </c>
      <c r="D425" s="2955" t="s">
        <v>3441</v>
      </c>
      <c r="E425" s="2955">
        <v>99.72</v>
      </c>
      <c r="F425" s="3169">
        <v>2146513</v>
      </c>
      <c r="G425" s="3252">
        <f t="shared" si="6"/>
        <v>21525.401123144806</v>
      </c>
    </row>
    <row r="426" spans="1:7">
      <c r="A426" s="2955">
        <v>425</v>
      </c>
      <c r="B426" s="2955" t="s">
        <v>3053</v>
      </c>
      <c r="C426" s="2955" t="s">
        <v>3054</v>
      </c>
      <c r="D426" s="2955" t="s">
        <v>3442</v>
      </c>
      <c r="E426" s="2955">
        <v>99.72</v>
      </c>
      <c r="F426" s="3169">
        <v>2136541</v>
      </c>
      <c r="G426" s="3252">
        <f t="shared" si="6"/>
        <v>21425.401123144806</v>
      </c>
    </row>
    <row r="427" spans="1:7">
      <c r="A427" s="2955">
        <v>426</v>
      </c>
      <c r="B427" s="2955" t="s">
        <v>3053</v>
      </c>
      <c r="C427" s="2955" t="s">
        <v>3054</v>
      </c>
      <c r="D427" s="2955" t="s">
        <v>3443</v>
      </c>
      <c r="E427" s="2955">
        <v>99.39</v>
      </c>
      <c r="F427" s="3169">
        <v>2059898</v>
      </c>
      <c r="G427" s="3252">
        <f t="shared" si="6"/>
        <v>20725.404970318945</v>
      </c>
    </row>
    <row r="428" spans="1:7">
      <c r="A428" s="2955">
        <v>427</v>
      </c>
      <c r="B428" s="2955" t="s">
        <v>3053</v>
      </c>
      <c r="C428" s="2955" t="s">
        <v>3054</v>
      </c>
      <c r="D428" s="2955" t="s">
        <v>3444</v>
      </c>
      <c r="E428" s="2955">
        <v>99.72</v>
      </c>
      <c r="F428" s="3169">
        <v>2104630</v>
      </c>
      <c r="G428" s="3252">
        <f t="shared" si="6"/>
        <v>21105.395106297634</v>
      </c>
    </row>
    <row r="429" spans="1:7">
      <c r="A429" s="2955">
        <v>428</v>
      </c>
      <c r="B429" s="2955" t="s">
        <v>3053</v>
      </c>
      <c r="C429" s="2955" t="s">
        <v>3054</v>
      </c>
      <c r="D429" s="2955" t="s">
        <v>3445</v>
      </c>
      <c r="E429" s="2955">
        <v>125.33</v>
      </c>
      <c r="F429" s="3169">
        <v>2622580</v>
      </c>
      <c r="G429" s="3252">
        <f t="shared" si="6"/>
        <v>20925.396952046598</v>
      </c>
    </row>
    <row r="430" spans="1:7">
      <c r="A430" s="2955">
        <v>429</v>
      </c>
      <c r="B430" s="2955" t="s">
        <v>3053</v>
      </c>
      <c r="C430" s="2955" t="s">
        <v>3054</v>
      </c>
      <c r="D430" s="2955" t="s">
        <v>3446</v>
      </c>
      <c r="E430" s="2955">
        <v>99.55</v>
      </c>
      <c r="F430" s="3169">
        <v>2150818</v>
      </c>
      <c r="G430" s="3252">
        <f t="shared" si="6"/>
        <v>21605.404319437468</v>
      </c>
    </row>
    <row r="431" spans="1:7">
      <c r="A431" s="2955">
        <v>430</v>
      </c>
      <c r="B431" s="2955" t="s">
        <v>3053</v>
      </c>
      <c r="C431" s="2955" t="s">
        <v>3054</v>
      </c>
      <c r="D431" s="2955" t="s">
        <v>3447</v>
      </c>
      <c r="E431" s="2955">
        <v>99.55</v>
      </c>
      <c r="F431" s="3169">
        <v>2162764</v>
      </c>
      <c r="G431" s="3252">
        <f t="shared" si="6"/>
        <v>21725.404319437468</v>
      </c>
    </row>
    <row r="432" spans="1:7">
      <c r="A432" s="2955">
        <v>431</v>
      </c>
      <c r="B432" s="2955" t="s">
        <v>3053</v>
      </c>
      <c r="C432" s="2955" t="s">
        <v>3054</v>
      </c>
      <c r="D432" s="2955" t="s">
        <v>3448</v>
      </c>
      <c r="E432" s="2955">
        <v>99.72</v>
      </c>
      <c r="F432" s="3169">
        <v>2164462</v>
      </c>
      <c r="G432" s="3252">
        <f t="shared" si="6"/>
        <v>21705.395106297634</v>
      </c>
    </row>
    <row r="433" spans="1:7">
      <c r="A433" s="2955">
        <v>432</v>
      </c>
      <c r="B433" s="2955" t="s">
        <v>3053</v>
      </c>
      <c r="C433" s="2955" t="s">
        <v>3054</v>
      </c>
      <c r="D433" s="2955" t="s">
        <v>3449</v>
      </c>
      <c r="E433" s="2955">
        <v>125.33</v>
      </c>
      <c r="F433" s="3169">
        <v>2670206</v>
      </c>
      <c r="G433" s="3252">
        <f t="shared" si="6"/>
        <v>21305.401739407964</v>
      </c>
    </row>
    <row r="434" spans="1:7">
      <c r="A434" s="2955">
        <v>433</v>
      </c>
      <c r="B434" s="2955" t="s">
        <v>3053</v>
      </c>
      <c r="C434" s="2955" t="s">
        <v>3054</v>
      </c>
      <c r="D434" s="2955" t="s">
        <v>3450</v>
      </c>
      <c r="E434" s="2955">
        <v>99.72</v>
      </c>
      <c r="F434" s="3169">
        <v>2114602</v>
      </c>
      <c r="G434" s="3252">
        <f t="shared" si="6"/>
        <v>21205.395106297634</v>
      </c>
    </row>
    <row r="435" spans="1:7">
      <c r="A435" s="2955">
        <v>434</v>
      </c>
      <c r="B435" s="2955" t="s">
        <v>3053</v>
      </c>
      <c r="C435" s="2955" t="s">
        <v>3054</v>
      </c>
      <c r="D435" s="2955" t="s">
        <v>3451</v>
      </c>
      <c r="E435" s="2955">
        <v>125.54</v>
      </c>
      <c r="F435" s="3169">
        <v>2624464</v>
      </c>
      <c r="G435" s="3252">
        <f t="shared" si="6"/>
        <v>20905.400669109447</v>
      </c>
    </row>
    <row r="436" spans="1:7">
      <c r="A436" s="2955">
        <v>435</v>
      </c>
      <c r="B436" s="2955" t="s">
        <v>3053</v>
      </c>
      <c r="C436" s="2955" t="s">
        <v>3054</v>
      </c>
      <c r="D436" s="2955" t="s">
        <v>3452</v>
      </c>
      <c r="E436" s="2955">
        <v>99.56</v>
      </c>
      <c r="F436" s="3169">
        <v>2091298</v>
      </c>
      <c r="G436" s="3252">
        <f t="shared" si="6"/>
        <v>21005.403776617113</v>
      </c>
    </row>
    <row r="437" spans="1:7">
      <c r="A437" s="2955">
        <v>436</v>
      </c>
      <c r="B437" s="2955" t="s">
        <v>3053</v>
      </c>
      <c r="C437" s="2955" t="s">
        <v>3054</v>
      </c>
      <c r="D437" s="2955" t="s">
        <v>3453</v>
      </c>
      <c r="E437" s="2955">
        <v>99.56</v>
      </c>
      <c r="F437" s="3169">
        <v>2141078</v>
      </c>
      <c r="G437" s="3252">
        <f t="shared" si="6"/>
        <v>21505.403776617113</v>
      </c>
    </row>
    <row r="438" spans="1:7">
      <c r="A438" s="2955">
        <v>437</v>
      </c>
      <c r="B438" s="2955" t="s">
        <v>3053</v>
      </c>
      <c r="C438" s="2955" t="s">
        <v>3054</v>
      </c>
      <c r="D438" s="2955" t="s">
        <v>3454</v>
      </c>
      <c r="E438" s="2955">
        <v>125.33</v>
      </c>
      <c r="F438" s="3169">
        <v>2682739</v>
      </c>
      <c r="G438" s="3252">
        <f t="shared" si="6"/>
        <v>21405.401739407964</v>
      </c>
    </row>
    <row r="439" spans="1:7">
      <c r="A439" s="2955">
        <v>438</v>
      </c>
      <c r="B439" s="2955" t="s">
        <v>3053</v>
      </c>
      <c r="C439" s="2955" t="s">
        <v>3054</v>
      </c>
      <c r="D439" s="2955" t="s">
        <v>3455</v>
      </c>
      <c r="E439" s="2955">
        <v>99.55</v>
      </c>
      <c r="F439" s="3169">
        <v>2110998</v>
      </c>
      <c r="G439" s="3252">
        <f t="shared" si="6"/>
        <v>21205.404319437468</v>
      </c>
    </row>
    <row r="440" spans="1:7">
      <c r="A440" s="2955">
        <v>439</v>
      </c>
      <c r="B440" s="2955" t="s">
        <v>3053</v>
      </c>
      <c r="C440" s="2955" t="s">
        <v>3054</v>
      </c>
      <c r="D440" s="2955" t="s">
        <v>3456</v>
      </c>
      <c r="E440" s="2955">
        <v>97.87</v>
      </c>
      <c r="F440" s="3169">
        <v>2026437</v>
      </c>
      <c r="G440" s="3252">
        <f t="shared" si="6"/>
        <v>20705.394911617452</v>
      </c>
    </row>
    <row r="441" spans="1:7">
      <c r="A441" s="2955">
        <v>440</v>
      </c>
      <c r="B441" s="2955" t="s">
        <v>3053</v>
      </c>
      <c r="C441" s="2955" t="s">
        <v>3054</v>
      </c>
      <c r="D441" s="2955" t="s">
        <v>3457</v>
      </c>
      <c r="E441" s="2955">
        <v>99.55</v>
      </c>
      <c r="F441" s="3169">
        <v>2101043</v>
      </c>
      <c r="G441" s="3252">
        <f t="shared" si="6"/>
        <v>21105.404319437468</v>
      </c>
    </row>
    <row r="442" spans="1:7">
      <c r="A442" s="2955">
        <v>441</v>
      </c>
      <c r="B442" s="2955" t="s">
        <v>3053</v>
      </c>
      <c r="C442" s="2955" t="s">
        <v>3054</v>
      </c>
      <c r="D442" s="2955" t="s">
        <v>3458</v>
      </c>
      <c r="E442" s="2955">
        <v>99.72</v>
      </c>
      <c r="F442" s="3169">
        <v>1974994</v>
      </c>
      <c r="G442" s="3252">
        <f t="shared" si="6"/>
        <v>19805.395106297634</v>
      </c>
    </row>
    <row r="443" spans="1:7">
      <c r="A443" s="2955">
        <v>442</v>
      </c>
      <c r="B443" s="2955" t="s">
        <v>3053</v>
      </c>
      <c r="C443" s="2955" t="s">
        <v>3054</v>
      </c>
      <c r="D443" s="2955" t="s">
        <v>3459</v>
      </c>
      <c r="E443" s="2955">
        <v>99.72</v>
      </c>
      <c r="F443" s="3169">
        <v>2084686</v>
      </c>
      <c r="G443" s="3252">
        <f t="shared" si="6"/>
        <v>20905.395106297634</v>
      </c>
    </row>
    <row r="444" spans="1:7">
      <c r="A444" s="2955">
        <v>443</v>
      </c>
      <c r="B444" s="2955" t="s">
        <v>3053</v>
      </c>
      <c r="C444" s="2955" t="s">
        <v>3054</v>
      </c>
      <c r="D444" s="2955" t="s">
        <v>3460</v>
      </c>
      <c r="E444" s="2955">
        <v>98.04</v>
      </c>
      <c r="F444" s="3169">
        <v>2059369</v>
      </c>
      <c r="G444" s="3252">
        <f t="shared" si="6"/>
        <v>21005.395756833943</v>
      </c>
    </row>
    <row r="445" spans="1:7">
      <c r="A445" s="2955">
        <v>444</v>
      </c>
      <c r="B445" s="2955" t="s">
        <v>3053</v>
      </c>
      <c r="C445" s="2955" t="s">
        <v>3054</v>
      </c>
      <c r="D445" s="2955" t="s">
        <v>3461</v>
      </c>
      <c r="E445" s="2955">
        <v>99.55</v>
      </c>
      <c r="F445" s="3169">
        <v>2101043</v>
      </c>
      <c r="G445" s="3252">
        <f t="shared" si="6"/>
        <v>21105.404319437468</v>
      </c>
    </row>
    <row r="446" spans="1:7">
      <c r="A446" s="2955">
        <v>445</v>
      </c>
      <c r="B446" s="2955" t="s">
        <v>3016</v>
      </c>
      <c r="C446" s="2955" t="s">
        <v>3014</v>
      </c>
      <c r="D446" s="2955" t="s">
        <v>3462</v>
      </c>
      <c r="E446" s="2955">
        <v>97.88</v>
      </c>
      <c r="F446" s="3169">
        <v>2065797</v>
      </c>
      <c r="G446" s="3252">
        <f t="shared" si="6"/>
        <v>21105.404577033103</v>
      </c>
    </row>
    <row r="447" spans="1:7">
      <c r="A447" s="2955">
        <v>446</v>
      </c>
      <c r="B447" s="2955" t="s">
        <v>3016</v>
      </c>
      <c r="C447" s="2955" t="s">
        <v>3014</v>
      </c>
      <c r="D447" s="2955" t="s">
        <v>3463</v>
      </c>
      <c r="E447" s="2955">
        <v>125.31</v>
      </c>
      <c r="F447" s="3169">
        <v>2607125</v>
      </c>
      <c r="G447" s="3252">
        <f t="shared" si="6"/>
        <v>20805.402601548161</v>
      </c>
    </row>
    <row r="448" spans="1:7">
      <c r="A448" s="2955">
        <v>447</v>
      </c>
      <c r="B448" s="2955" t="s">
        <v>3016</v>
      </c>
      <c r="C448" s="2955" t="s">
        <v>3014</v>
      </c>
      <c r="D448" s="2955" t="s">
        <v>3464</v>
      </c>
      <c r="E448" s="2955">
        <v>99.55</v>
      </c>
      <c r="F448" s="3169">
        <v>2110998</v>
      </c>
      <c r="G448" s="3252">
        <f t="shared" si="6"/>
        <v>21205.404319437468</v>
      </c>
    </row>
    <row r="449" spans="1:7">
      <c r="A449" s="2955">
        <v>448</v>
      </c>
      <c r="B449" s="2955" t="s">
        <v>3016</v>
      </c>
      <c r="C449" s="2955" t="s">
        <v>3014</v>
      </c>
      <c r="D449" s="2955" t="s">
        <v>3465</v>
      </c>
      <c r="E449" s="2955">
        <v>123.53</v>
      </c>
      <c r="F449" s="3169">
        <v>2644209</v>
      </c>
      <c r="G449" s="3252">
        <f t="shared" si="6"/>
        <v>21405.399498097628</v>
      </c>
    </row>
    <row r="450" spans="1:7">
      <c r="A450" s="2955">
        <v>449</v>
      </c>
      <c r="B450" s="2955" t="s">
        <v>3016</v>
      </c>
      <c r="C450" s="2955" t="s">
        <v>3014</v>
      </c>
      <c r="D450" s="2955" t="s">
        <v>3466</v>
      </c>
      <c r="E450" s="2955">
        <v>125.12</v>
      </c>
      <c r="F450" s="3169">
        <v>2585655</v>
      </c>
      <c r="G450" s="3252">
        <f t="shared" si="6"/>
        <v>20665.401214833761</v>
      </c>
    </row>
    <row r="451" spans="1:7">
      <c r="A451" s="2955">
        <v>450</v>
      </c>
      <c r="B451" s="2955" t="s">
        <v>3016</v>
      </c>
      <c r="C451" s="2955" t="s">
        <v>3014</v>
      </c>
      <c r="D451" s="2955" t="s">
        <v>3467</v>
      </c>
      <c r="E451" s="2955">
        <v>123.53</v>
      </c>
      <c r="F451" s="3169">
        <v>2619503</v>
      </c>
      <c r="G451" s="3252">
        <f t="shared" ref="G451:G514" si="7">F451/E451</f>
        <v>21205.399498097628</v>
      </c>
    </row>
    <row r="452" spans="1:7">
      <c r="A452" s="2955">
        <v>451</v>
      </c>
      <c r="B452" s="2955" t="s">
        <v>3016</v>
      </c>
      <c r="C452" s="2955" t="s">
        <v>3014</v>
      </c>
      <c r="D452" s="2955" t="s">
        <v>3468</v>
      </c>
      <c r="E452" s="2955">
        <v>120.35</v>
      </c>
      <c r="F452" s="3169">
        <v>2503930</v>
      </c>
      <c r="G452" s="3252">
        <f t="shared" si="7"/>
        <v>20805.400914000831</v>
      </c>
    </row>
    <row r="453" spans="1:7">
      <c r="A453" s="2955">
        <v>452</v>
      </c>
      <c r="B453" s="2955" t="s">
        <v>3016</v>
      </c>
      <c r="C453" s="2955" t="s">
        <v>3014</v>
      </c>
      <c r="D453" s="2955" t="s">
        <v>3469</v>
      </c>
      <c r="E453" s="2955">
        <v>125.54</v>
      </c>
      <c r="F453" s="3169">
        <v>2639529</v>
      </c>
      <c r="G453" s="3252">
        <f t="shared" si="7"/>
        <v>21025.402262227177</v>
      </c>
    </row>
    <row r="454" spans="1:7">
      <c r="A454" s="2955">
        <v>453</v>
      </c>
      <c r="B454" s="2955" t="s">
        <v>3016</v>
      </c>
      <c r="C454" s="2955" t="s">
        <v>3014</v>
      </c>
      <c r="D454" s="2955" t="s">
        <v>3470</v>
      </c>
      <c r="E454" s="2955">
        <v>99.55</v>
      </c>
      <c r="F454" s="3169">
        <v>2162764</v>
      </c>
      <c r="G454" s="3252">
        <f t="shared" si="7"/>
        <v>21725.404319437468</v>
      </c>
    </row>
    <row r="455" spans="1:7">
      <c r="A455" s="2955">
        <v>454</v>
      </c>
      <c r="B455" s="2955" t="s">
        <v>3016</v>
      </c>
      <c r="C455" s="2955" t="s">
        <v>3014</v>
      </c>
      <c r="D455" s="2955" t="s">
        <v>3471</v>
      </c>
      <c r="E455" s="2955">
        <v>99.55</v>
      </c>
      <c r="F455" s="3169">
        <v>2130908</v>
      </c>
      <c r="G455" s="3252">
        <f t="shared" si="7"/>
        <v>21405.404319437468</v>
      </c>
    </row>
    <row r="456" spans="1:7">
      <c r="A456" s="2955">
        <v>455</v>
      </c>
      <c r="B456" s="2955" t="s">
        <v>3016</v>
      </c>
      <c r="C456" s="2955" t="s">
        <v>3014</v>
      </c>
      <c r="D456" s="2955" t="s">
        <v>3472</v>
      </c>
      <c r="E456" s="2955">
        <v>120.35</v>
      </c>
      <c r="F456" s="3169">
        <v>2479860</v>
      </c>
      <c r="G456" s="3252">
        <f t="shared" si="7"/>
        <v>20605.400914000831</v>
      </c>
    </row>
    <row r="457" spans="1:7">
      <c r="A457" s="2955">
        <v>456</v>
      </c>
      <c r="B457" s="2955" t="s">
        <v>3016</v>
      </c>
      <c r="C457" s="2955" t="s">
        <v>3014</v>
      </c>
      <c r="D457" s="2955" t="s">
        <v>3473</v>
      </c>
      <c r="E457" s="2955">
        <v>122.15</v>
      </c>
      <c r="F457" s="3169">
        <v>2492520</v>
      </c>
      <c r="G457" s="3252">
        <f t="shared" si="7"/>
        <v>20405.40319279574</v>
      </c>
    </row>
    <row r="458" spans="1:7">
      <c r="A458" s="2955">
        <v>457</v>
      </c>
      <c r="B458" s="2955" t="s">
        <v>3016</v>
      </c>
      <c r="C458" s="2955" t="s">
        <v>3014</v>
      </c>
      <c r="D458" s="2955" t="s">
        <v>3474</v>
      </c>
      <c r="E458" s="2955">
        <v>123.53</v>
      </c>
      <c r="F458" s="3169">
        <v>2607150</v>
      </c>
      <c r="G458" s="3252">
        <f t="shared" si="7"/>
        <v>21105.399498097628</v>
      </c>
    </row>
    <row r="459" spans="1:7">
      <c r="A459" s="2955">
        <v>458</v>
      </c>
      <c r="B459" s="2955" t="s">
        <v>3016</v>
      </c>
      <c r="C459" s="2955" t="s">
        <v>3014</v>
      </c>
      <c r="D459" s="2955" t="s">
        <v>3475</v>
      </c>
      <c r="E459" s="2955">
        <v>125.54</v>
      </c>
      <c r="F459" s="3169">
        <v>2601867</v>
      </c>
      <c r="G459" s="3252">
        <f t="shared" si="7"/>
        <v>20725.402262227177</v>
      </c>
    </row>
    <row r="460" spans="1:7">
      <c r="A460" s="2955">
        <v>459</v>
      </c>
      <c r="B460" s="2955" t="s">
        <v>3016</v>
      </c>
      <c r="C460" s="2955" t="s">
        <v>3014</v>
      </c>
      <c r="D460" s="2955" t="s">
        <v>3476</v>
      </c>
      <c r="E460" s="2955">
        <v>123.75</v>
      </c>
      <c r="F460" s="3169">
        <v>2582093</v>
      </c>
      <c r="G460" s="3252">
        <f t="shared" si="7"/>
        <v>20865.397979797981</v>
      </c>
    </row>
    <row r="461" spans="1:7">
      <c r="A461" s="2955">
        <v>460</v>
      </c>
      <c r="B461" s="2955" t="s">
        <v>3016</v>
      </c>
      <c r="C461" s="2955" t="s">
        <v>3014</v>
      </c>
      <c r="D461" s="2955" t="s">
        <v>3477</v>
      </c>
      <c r="E461" s="2955">
        <v>99.56</v>
      </c>
      <c r="F461" s="3169">
        <v>2160990</v>
      </c>
      <c r="G461" s="3252">
        <f t="shared" si="7"/>
        <v>21705.403776617113</v>
      </c>
    </row>
    <row r="462" spans="1:7">
      <c r="A462" s="2955">
        <v>461</v>
      </c>
      <c r="B462" s="2955" t="s">
        <v>3016</v>
      </c>
      <c r="C462" s="2955" t="s">
        <v>3014</v>
      </c>
      <c r="D462" s="2955" t="s">
        <v>3478</v>
      </c>
      <c r="E462" s="2955">
        <v>99.55</v>
      </c>
      <c r="F462" s="3169">
        <v>2152809</v>
      </c>
      <c r="G462" s="3252">
        <f t="shared" si="7"/>
        <v>21625.404319437468</v>
      </c>
    </row>
    <row r="463" spans="1:7">
      <c r="A463" s="2955">
        <v>462</v>
      </c>
      <c r="B463" s="2955" t="s">
        <v>3016</v>
      </c>
      <c r="C463" s="2955" t="s">
        <v>3014</v>
      </c>
      <c r="D463" s="2955" t="s">
        <v>3479</v>
      </c>
      <c r="E463" s="2955">
        <v>99.39</v>
      </c>
      <c r="F463" s="3169">
        <v>2008215</v>
      </c>
      <c r="G463" s="3252">
        <f t="shared" si="7"/>
        <v>20205.402958044069</v>
      </c>
    </row>
    <row r="464" spans="1:7">
      <c r="A464" s="2955">
        <v>463</v>
      </c>
      <c r="B464" s="2955" t="s">
        <v>3016</v>
      </c>
      <c r="C464" s="2955" t="s">
        <v>3014</v>
      </c>
      <c r="D464" s="2955" t="s">
        <v>3480</v>
      </c>
      <c r="E464" s="2955">
        <v>99.55</v>
      </c>
      <c r="F464" s="3169">
        <v>2180683</v>
      </c>
      <c r="G464" s="3252">
        <f t="shared" si="7"/>
        <v>21905.404319437468</v>
      </c>
    </row>
    <row r="465" spans="1:7">
      <c r="A465" s="2955">
        <v>464</v>
      </c>
      <c r="B465" s="2955" t="s">
        <v>3016</v>
      </c>
      <c r="C465" s="2955" t="s">
        <v>3014</v>
      </c>
      <c r="D465" s="2955" t="s">
        <v>3481</v>
      </c>
      <c r="E465" s="2955">
        <v>98.04</v>
      </c>
      <c r="F465" s="3169">
        <v>2049565</v>
      </c>
      <c r="G465" s="3252">
        <f t="shared" si="7"/>
        <v>20905.395756833943</v>
      </c>
    </row>
    <row r="466" spans="1:7">
      <c r="A466" s="2955">
        <v>465</v>
      </c>
      <c r="B466" s="2955" t="s">
        <v>3016</v>
      </c>
      <c r="C466" s="2955" t="s">
        <v>3014</v>
      </c>
      <c r="D466" s="2955" t="s">
        <v>3482</v>
      </c>
      <c r="E466" s="2955">
        <v>99.72</v>
      </c>
      <c r="F466" s="3169">
        <v>2104630</v>
      </c>
      <c r="G466" s="3252">
        <f t="shared" si="7"/>
        <v>21105.395106297634</v>
      </c>
    </row>
    <row r="467" spans="1:7">
      <c r="A467" s="2955">
        <v>466</v>
      </c>
      <c r="B467" s="2955" t="s">
        <v>3016</v>
      </c>
      <c r="C467" s="2955" t="s">
        <v>3014</v>
      </c>
      <c r="D467" s="2955" t="s">
        <v>3483</v>
      </c>
      <c r="E467" s="2955">
        <v>99.72</v>
      </c>
      <c r="F467" s="3169">
        <v>2094658</v>
      </c>
      <c r="G467" s="3252">
        <f t="shared" si="7"/>
        <v>21005.395106297634</v>
      </c>
    </row>
    <row r="468" spans="1:7">
      <c r="A468" s="2955">
        <v>467</v>
      </c>
      <c r="B468" s="2955" t="s">
        <v>3016</v>
      </c>
      <c r="C468" s="2955" t="s">
        <v>3014</v>
      </c>
      <c r="D468" s="2955" t="s">
        <v>3484</v>
      </c>
      <c r="E468" s="2955">
        <v>99.39</v>
      </c>
      <c r="F468" s="3169">
        <v>2018154</v>
      </c>
      <c r="G468" s="3252">
        <f t="shared" si="7"/>
        <v>20305.402958044069</v>
      </c>
    </row>
    <row r="469" spans="1:7">
      <c r="A469" s="2955">
        <v>468</v>
      </c>
      <c r="B469" s="2955" t="s">
        <v>3016</v>
      </c>
      <c r="C469" s="2955" t="s">
        <v>3014</v>
      </c>
      <c r="D469" s="2955" t="s">
        <v>3485</v>
      </c>
      <c r="E469" s="2955">
        <v>120.17</v>
      </c>
      <c r="F469" s="3169">
        <v>2392032</v>
      </c>
      <c r="G469" s="3252">
        <f t="shared" si="7"/>
        <v>19905.400682366646</v>
      </c>
    </row>
    <row r="470" spans="1:7">
      <c r="A470" s="2955">
        <v>469</v>
      </c>
      <c r="B470" s="2955" t="s">
        <v>3016</v>
      </c>
      <c r="C470" s="2955" t="s">
        <v>3014</v>
      </c>
      <c r="D470" s="2955" t="s">
        <v>3486</v>
      </c>
      <c r="E470" s="2955">
        <v>125.33</v>
      </c>
      <c r="F470" s="3169">
        <v>2670206</v>
      </c>
      <c r="G470" s="3252">
        <f t="shared" si="7"/>
        <v>21305.401739407964</v>
      </c>
    </row>
    <row r="471" spans="1:7">
      <c r="A471" s="2955">
        <v>470</v>
      </c>
      <c r="B471" s="2955" t="s">
        <v>3016</v>
      </c>
      <c r="C471" s="2955" t="s">
        <v>3014</v>
      </c>
      <c r="D471" s="2955" t="s">
        <v>3487</v>
      </c>
      <c r="E471" s="2955">
        <v>125.54</v>
      </c>
      <c r="F471" s="3169">
        <v>2639529</v>
      </c>
      <c r="G471" s="3252">
        <f t="shared" si="7"/>
        <v>21025.402262227177</v>
      </c>
    </row>
    <row r="472" spans="1:7">
      <c r="A472" s="2955">
        <v>471</v>
      </c>
      <c r="B472" s="2955" t="s">
        <v>3016</v>
      </c>
      <c r="C472" s="2955" t="s">
        <v>3014</v>
      </c>
      <c r="D472" s="2955" t="s">
        <v>3488</v>
      </c>
      <c r="E472" s="2955">
        <v>125.54</v>
      </c>
      <c r="F472" s="3169">
        <v>2609399</v>
      </c>
      <c r="G472" s="3252">
        <f t="shared" si="7"/>
        <v>20785.399075991714</v>
      </c>
    </row>
    <row r="473" spans="1:7">
      <c r="A473" s="2955">
        <v>472</v>
      </c>
      <c r="B473" s="2955" t="s">
        <v>3016</v>
      </c>
      <c r="C473" s="2955" t="s">
        <v>3014</v>
      </c>
      <c r="D473" s="2955" t="s">
        <v>3489</v>
      </c>
      <c r="E473" s="2955">
        <v>99.39</v>
      </c>
      <c r="F473" s="3169">
        <v>2077788</v>
      </c>
      <c r="G473" s="3252">
        <f t="shared" si="7"/>
        <v>20905.402958044069</v>
      </c>
    </row>
    <row r="474" spans="1:7">
      <c r="A474" s="2955">
        <v>473</v>
      </c>
      <c r="B474" s="2955" t="s">
        <v>3016</v>
      </c>
      <c r="C474" s="2955" t="s">
        <v>3014</v>
      </c>
      <c r="D474" s="2955" t="s">
        <v>3490</v>
      </c>
      <c r="E474" s="2955">
        <v>120.17</v>
      </c>
      <c r="F474" s="3169">
        <v>2416066</v>
      </c>
      <c r="G474" s="3252">
        <f t="shared" si="7"/>
        <v>20105.400682366646</v>
      </c>
    </row>
    <row r="475" spans="1:7">
      <c r="A475" s="2955">
        <v>474</v>
      </c>
      <c r="B475" s="2955" t="s">
        <v>3016</v>
      </c>
      <c r="C475" s="2955" t="s">
        <v>3014</v>
      </c>
      <c r="D475" s="2955" t="s">
        <v>3491</v>
      </c>
      <c r="E475" s="2955">
        <v>125.12</v>
      </c>
      <c r="F475" s="3169">
        <v>2578148</v>
      </c>
      <c r="G475" s="3252">
        <f t="shared" si="7"/>
        <v>20605.402813299232</v>
      </c>
    </row>
    <row r="476" spans="1:7">
      <c r="A476" s="2955">
        <v>475</v>
      </c>
      <c r="B476" s="2955" t="s">
        <v>3016</v>
      </c>
      <c r="C476" s="2955" t="s">
        <v>3014</v>
      </c>
      <c r="D476" s="2955" t="s">
        <v>3492</v>
      </c>
      <c r="E476" s="2955">
        <v>99.56</v>
      </c>
      <c r="F476" s="3169">
        <v>2111210</v>
      </c>
      <c r="G476" s="3252">
        <f t="shared" si="7"/>
        <v>21205.403776617113</v>
      </c>
    </row>
    <row r="477" spans="1:7">
      <c r="A477" s="2955">
        <v>476</v>
      </c>
      <c r="B477" s="2955" t="s">
        <v>3016</v>
      </c>
      <c r="C477" s="2955" t="s">
        <v>3014</v>
      </c>
      <c r="D477" s="2955" t="s">
        <v>3493</v>
      </c>
      <c r="E477" s="2955">
        <v>99.39</v>
      </c>
      <c r="F477" s="3169">
        <v>2057910</v>
      </c>
      <c r="G477" s="3252">
        <f t="shared" si="7"/>
        <v>20705.402958044069</v>
      </c>
    </row>
    <row r="478" spans="1:7">
      <c r="A478" s="2955">
        <v>477</v>
      </c>
      <c r="B478" s="2955" t="s">
        <v>3016</v>
      </c>
      <c r="C478" s="2955" t="s">
        <v>3014</v>
      </c>
      <c r="D478" s="2955" t="s">
        <v>3494</v>
      </c>
      <c r="E478" s="2955">
        <v>121.96</v>
      </c>
      <c r="F478" s="3169">
        <v>2427663</v>
      </c>
      <c r="G478" s="3252">
        <f t="shared" si="7"/>
        <v>19905.403410954412</v>
      </c>
    </row>
    <row r="479" spans="1:7">
      <c r="A479" s="2955">
        <v>478</v>
      </c>
      <c r="B479" s="2955" t="s">
        <v>3016</v>
      </c>
      <c r="C479" s="2955" t="s">
        <v>3014</v>
      </c>
      <c r="D479" s="2955" t="s">
        <v>3495</v>
      </c>
      <c r="E479" s="2955">
        <v>123.34</v>
      </c>
      <c r="F479" s="3169">
        <v>2529136</v>
      </c>
      <c r="G479" s="3252">
        <f t="shared" si="7"/>
        <v>20505.399708123885</v>
      </c>
    </row>
    <row r="480" spans="1:7">
      <c r="A480" s="2955">
        <v>479</v>
      </c>
      <c r="B480" s="2955" t="s">
        <v>3016</v>
      </c>
      <c r="C480" s="2955" t="s">
        <v>3014</v>
      </c>
      <c r="D480" s="2955" t="s">
        <v>3496</v>
      </c>
      <c r="E480" s="2955">
        <v>123.34</v>
      </c>
      <c r="F480" s="3169">
        <v>2516802</v>
      </c>
      <c r="G480" s="3252">
        <f t="shared" si="7"/>
        <v>20405.399708123885</v>
      </c>
    </row>
    <row r="481" spans="1:7">
      <c r="A481" s="2955">
        <v>480</v>
      </c>
      <c r="B481" s="2955" t="s">
        <v>3016</v>
      </c>
      <c r="C481" s="2955" t="s">
        <v>3014</v>
      </c>
      <c r="D481" s="2955" t="s">
        <v>3497</v>
      </c>
      <c r="E481" s="2955">
        <v>99.72</v>
      </c>
      <c r="F481" s="3169">
        <v>2134546</v>
      </c>
      <c r="G481" s="3252">
        <f t="shared" si="7"/>
        <v>21405.395106297634</v>
      </c>
    </row>
    <row r="482" spans="1:7">
      <c r="A482" s="2955">
        <v>481</v>
      </c>
      <c r="B482" s="2955" t="s">
        <v>3016</v>
      </c>
      <c r="C482" s="2955" t="s">
        <v>3014</v>
      </c>
      <c r="D482" s="2955" t="s">
        <v>3498</v>
      </c>
      <c r="E482" s="2955">
        <v>99.56</v>
      </c>
      <c r="F482" s="3169">
        <v>2127139</v>
      </c>
      <c r="G482" s="3252">
        <f t="shared" si="7"/>
        <v>21365.397750100441</v>
      </c>
    </row>
    <row r="483" spans="1:7">
      <c r="A483" s="2955">
        <v>482</v>
      </c>
      <c r="B483" s="2955" t="s">
        <v>3053</v>
      </c>
      <c r="C483" s="2955" t="s">
        <v>3054</v>
      </c>
      <c r="D483" s="2955" t="s">
        <v>3499</v>
      </c>
      <c r="E483" s="2955">
        <v>99.72</v>
      </c>
      <c r="F483" s="3169">
        <v>2100642</v>
      </c>
      <c r="G483" s="3252">
        <f t="shared" si="7"/>
        <v>21065.403128760528</v>
      </c>
    </row>
    <row r="484" spans="1:7">
      <c r="A484" s="2955">
        <v>483</v>
      </c>
      <c r="B484" s="2955" t="s">
        <v>3053</v>
      </c>
      <c r="C484" s="2955" t="s">
        <v>3054</v>
      </c>
      <c r="D484" s="2955" t="s">
        <v>3500</v>
      </c>
      <c r="E484" s="2955">
        <v>99.55</v>
      </c>
      <c r="F484" s="3169">
        <v>2160773</v>
      </c>
      <c r="G484" s="3252">
        <f t="shared" si="7"/>
        <v>21705.404319437468</v>
      </c>
    </row>
    <row r="485" spans="1:7">
      <c r="A485" s="2955">
        <v>484</v>
      </c>
      <c r="B485" s="2955" t="s">
        <v>3053</v>
      </c>
      <c r="C485" s="2955" t="s">
        <v>3054</v>
      </c>
      <c r="D485" s="2955" t="s">
        <v>3501</v>
      </c>
      <c r="E485" s="2955">
        <v>99.39</v>
      </c>
      <c r="F485" s="3169">
        <v>2028093</v>
      </c>
      <c r="G485" s="3252">
        <f t="shared" si="7"/>
        <v>20405.402958044069</v>
      </c>
    </row>
    <row r="486" spans="1:7">
      <c r="A486" s="2955">
        <v>485</v>
      </c>
      <c r="B486" s="2955" t="s">
        <v>3053</v>
      </c>
      <c r="C486" s="2955" t="s">
        <v>3054</v>
      </c>
      <c r="D486" s="2955" t="s">
        <v>3502</v>
      </c>
      <c r="E486" s="2955">
        <v>99.56</v>
      </c>
      <c r="F486" s="3169">
        <v>2107227</v>
      </c>
      <c r="G486" s="3252">
        <f t="shared" si="7"/>
        <v>21165.397750100441</v>
      </c>
    </row>
    <row r="487" spans="1:7">
      <c r="A487" s="2955">
        <v>486</v>
      </c>
      <c r="B487" s="2955" t="s">
        <v>3053</v>
      </c>
      <c r="C487" s="2955" t="s">
        <v>3054</v>
      </c>
      <c r="D487" s="2955" t="s">
        <v>3503</v>
      </c>
      <c r="E487" s="2955">
        <v>97.87</v>
      </c>
      <c r="F487" s="3169">
        <v>2065585</v>
      </c>
      <c r="G487" s="3252">
        <f t="shared" si="7"/>
        <v>21105.394911617452</v>
      </c>
    </row>
    <row r="488" spans="1:7">
      <c r="A488" s="2955">
        <v>487</v>
      </c>
      <c r="B488" s="2955" t="s">
        <v>3053</v>
      </c>
      <c r="C488" s="2955" t="s">
        <v>3054</v>
      </c>
      <c r="D488" s="2955" t="s">
        <v>3504</v>
      </c>
      <c r="E488" s="2955">
        <v>99.55</v>
      </c>
      <c r="F488" s="3169">
        <v>2150818</v>
      </c>
      <c r="G488" s="3252">
        <f t="shared" si="7"/>
        <v>21605.404319437468</v>
      </c>
    </row>
    <row r="489" spans="1:7">
      <c r="A489" s="2955">
        <v>488</v>
      </c>
      <c r="B489" s="2955" t="s">
        <v>3053</v>
      </c>
      <c r="C489" s="2955" t="s">
        <v>3054</v>
      </c>
      <c r="D489" s="2955" t="s">
        <v>3505</v>
      </c>
      <c r="E489" s="2955">
        <v>99.39</v>
      </c>
      <c r="F489" s="3169">
        <v>2067849</v>
      </c>
      <c r="G489" s="3252">
        <f t="shared" si="7"/>
        <v>20805.402958044069</v>
      </c>
    </row>
    <row r="490" spans="1:7">
      <c r="A490" s="2955">
        <v>489</v>
      </c>
      <c r="B490" s="2955" t="s">
        <v>3053</v>
      </c>
      <c r="C490" s="2955" t="s">
        <v>3054</v>
      </c>
      <c r="D490" s="2955" t="s">
        <v>3506</v>
      </c>
      <c r="E490" s="2955">
        <v>125.12</v>
      </c>
      <c r="F490" s="3169">
        <v>2565636</v>
      </c>
      <c r="G490" s="3252">
        <f t="shared" si="7"/>
        <v>20505.402813299232</v>
      </c>
    </row>
    <row r="491" spans="1:7">
      <c r="A491" s="2955">
        <v>490</v>
      </c>
      <c r="B491" s="2955" t="s">
        <v>3053</v>
      </c>
      <c r="C491" s="2955" t="s">
        <v>3054</v>
      </c>
      <c r="D491" s="2955" t="s">
        <v>3507</v>
      </c>
      <c r="E491" s="2955">
        <v>123.53</v>
      </c>
      <c r="F491" s="3169">
        <v>2646680</v>
      </c>
      <c r="G491" s="3252">
        <f t="shared" si="7"/>
        <v>21425.402736177446</v>
      </c>
    </row>
    <row r="492" spans="1:7">
      <c r="A492" s="2955">
        <v>491</v>
      </c>
      <c r="B492" s="2955" t="s">
        <v>3053</v>
      </c>
      <c r="C492" s="2955" t="s">
        <v>3054</v>
      </c>
      <c r="D492" s="2955" t="s">
        <v>3508</v>
      </c>
      <c r="E492" s="2955">
        <v>125.12</v>
      </c>
      <c r="F492" s="3169">
        <v>2593162</v>
      </c>
      <c r="G492" s="3252">
        <f t="shared" si="7"/>
        <v>20725.399616368286</v>
      </c>
    </row>
    <row r="493" spans="1:7">
      <c r="A493" s="2955">
        <v>492</v>
      </c>
      <c r="B493" s="2955" t="s">
        <v>3053</v>
      </c>
      <c r="C493" s="2955" t="s">
        <v>3054</v>
      </c>
      <c r="D493" s="2955" t="s">
        <v>3509</v>
      </c>
      <c r="E493" s="2955">
        <v>123.75</v>
      </c>
      <c r="F493" s="3169">
        <v>2562293</v>
      </c>
      <c r="G493" s="3252">
        <f t="shared" si="7"/>
        <v>20705.397979797981</v>
      </c>
    </row>
    <row r="494" spans="1:7">
      <c r="A494" s="2955">
        <v>493</v>
      </c>
      <c r="B494" s="2955" t="s">
        <v>3053</v>
      </c>
      <c r="C494" s="2955" t="s">
        <v>3054</v>
      </c>
      <c r="D494" s="2955" t="s">
        <v>3510</v>
      </c>
      <c r="E494" s="2955">
        <v>125.54</v>
      </c>
      <c r="F494" s="3169">
        <v>2662126</v>
      </c>
      <c r="G494" s="3252">
        <f t="shared" si="7"/>
        <v>21205.400669109447</v>
      </c>
    </row>
    <row r="495" spans="1:7">
      <c r="A495" s="2955">
        <v>494</v>
      </c>
      <c r="B495" s="2955" t="s">
        <v>3053</v>
      </c>
      <c r="C495" s="2955" t="s">
        <v>3054</v>
      </c>
      <c r="D495" s="2955" t="s">
        <v>3511</v>
      </c>
      <c r="E495" s="2955">
        <v>99.39</v>
      </c>
      <c r="F495" s="3169">
        <v>1898886</v>
      </c>
      <c r="G495" s="3252">
        <f t="shared" si="7"/>
        <v>19105.402958044069</v>
      </c>
    </row>
    <row r="496" spans="1:7">
      <c r="A496" s="2955">
        <v>495</v>
      </c>
      <c r="B496" s="2955" t="s">
        <v>3053</v>
      </c>
      <c r="C496" s="2955" t="s">
        <v>3054</v>
      </c>
      <c r="D496" s="2955" t="s">
        <v>3512</v>
      </c>
      <c r="E496" s="2955">
        <v>99.39</v>
      </c>
      <c r="F496" s="3169">
        <v>2057910</v>
      </c>
      <c r="G496" s="3252">
        <f t="shared" si="7"/>
        <v>20705.402958044069</v>
      </c>
    </row>
    <row r="497" spans="1:7">
      <c r="A497" s="2955">
        <v>496</v>
      </c>
      <c r="B497" s="2955" t="s">
        <v>3053</v>
      </c>
      <c r="C497" s="2955" t="s">
        <v>3054</v>
      </c>
      <c r="D497" s="2955" t="s">
        <v>3513</v>
      </c>
      <c r="E497" s="2955">
        <v>99.55</v>
      </c>
      <c r="F497" s="3169">
        <v>1981583</v>
      </c>
      <c r="G497" s="3252">
        <f t="shared" si="7"/>
        <v>19905.404319437468</v>
      </c>
    </row>
    <row r="498" spans="1:7">
      <c r="A498" s="2955">
        <v>497</v>
      </c>
      <c r="B498" s="2955" t="s">
        <v>3053</v>
      </c>
      <c r="C498" s="2955" t="s">
        <v>3054</v>
      </c>
      <c r="D498" s="2955" t="s">
        <v>3514</v>
      </c>
      <c r="E498" s="2955">
        <v>99.72</v>
      </c>
      <c r="F498" s="3169">
        <v>2128563</v>
      </c>
      <c r="G498" s="3252">
        <f t="shared" si="7"/>
        <v>21345.397111913357</v>
      </c>
    </row>
    <row r="499" spans="1:7">
      <c r="A499" s="2955">
        <v>498</v>
      </c>
      <c r="B499" s="2955" t="s">
        <v>3053</v>
      </c>
      <c r="C499" s="2955" t="s">
        <v>3054</v>
      </c>
      <c r="D499" s="2955" t="s">
        <v>3515</v>
      </c>
      <c r="E499" s="2955">
        <v>120.35</v>
      </c>
      <c r="F499" s="3169">
        <v>2576140</v>
      </c>
      <c r="G499" s="3252">
        <f t="shared" si="7"/>
        <v>21405.400914000831</v>
      </c>
    </row>
    <row r="500" spans="1:7">
      <c r="A500" s="2955">
        <v>499</v>
      </c>
      <c r="B500" s="2955" t="s">
        <v>3053</v>
      </c>
      <c r="C500" s="2955" t="s">
        <v>3054</v>
      </c>
      <c r="D500" s="2955" t="s">
        <v>3516</v>
      </c>
      <c r="E500" s="2955">
        <v>123.75</v>
      </c>
      <c r="F500" s="3169">
        <v>2574668</v>
      </c>
      <c r="G500" s="3252">
        <f t="shared" si="7"/>
        <v>20805.397979797981</v>
      </c>
    </row>
    <row r="501" spans="1:7">
      <c r="A501" s="2955">
        <v>500</v>
      </c>
      <c r="B501" s="2955" t="s">
        <v>3053</v>
      </c>
      <c r="C501" s="2955" t="s">
        <v>3054</v>
      </c>
      <c r="D501" s="2955" t="s">
        <v>3517</v>
      </c>
      <c r="E501" s="2955">
        <v>125.12</v>
      </c>
      <c r="F501" s="3169">
        <v>2540612</v>
      </c>
      <c r="G501" s="3252">
        <f t="shared" si="7"/>
        <v>20305.402813299232</v>
      </c>
    </row>
    <row r="502" spans="1:7">
      <c r="A502" s="2955">
        <v>501</v>
      </c>
      <c r="B502" s="2955" t="s">
        <v>3053</v>
      </c>
      <c r="C502" s="2955" t="s">
        <v>3054</v>
      </c>
      <c r="D502" s="2955" t="s">
        <v>3518</v>
      </c>
      <c r="E502" s="2955">
        <v>125.12</v>
      </c>
      <c r="F502" s="3169">
        <v>2553124</v>
      </c>
      <c r="G502" s="3252">
        <f t="shared" si="7"/>
        <v>20405.402813299232</v>
      </c>
    </row>
    <row r="503" spans="1:7">
      <c r="A503" s="2955">
        <v>502</v>
      </c>
      <c r="B503" s="2955" t="s">
        <v>3053</v>
      </c>
      <c r="C503" s="2955" t="s">
        <v>3054</v>
      </c>
      <c r="D503" s="2955" t="s">
        <v>3519</v>
      </c>
      <c r="E503" s="2955">
        <v>99.72</v>
      </c>
      <c r="F503" s="3169">
        <v>2136541</v>
      </c>
      <c r="G503" s="3252">
        <f t="shared" si="7"/>
        <v>21425.401123144806</v>
      </c>
    </row>
    <row r="504" spans="1:7">
      <c r="A504" s="2955">
        <v>503</v>
      </c>
      <c r="B504" s="2955" t="s">
        <v>3053</v>
      </c>
      <c r="C504" s="2955" t="s">
        <v>3054</v>
      </c>
      <c r="D504" s="2955" t="s">
        <v>3520</v>
      </c>
      <c r="E504" s="2955">
        <v>123.75</v>
      </c>
      <c r="F504" s="3169">
        <v>2604368</v>
      </c>
      <c r="G504" s="3252">
        <f t="shared" si="7"/>
        <v>21045.397979797981</v>
      </c>
    </row>
    <row r="505" spans="1:7">
      <c r="A505" s="2955">
        <v>504</v>
      </c>
      <c r="B505" s="2955" t="s">
        <v>3053</v>
      </c>
      <c r="C505" s="2955" t="s">
        <v>3054</v>
      </c>
      <c r="D505" s="2955" t="s">
        <v>3521</v>
      </c>
      <c r="E505" s="2955">
        <v>99.72</v>
      </c>
      <c r="F505" s="3169">
        <v>1984966</v>
      </c>
      <c r="G505" s="3252">
        <f t="shared" si="7"/>
        <v>19905.395106297634</v>
      </c>
    </row>
    <row r="506" spans="1:7">
      <c r="A506" s="2955">
        <v>505</v>
      </c>
      <c r="B506" s="2955" t="s">
        <v>3053</v>
      </c>
      <c r="C506" s="2955" t="s">
        <v>3054</v>
      </c>
      <c r="D506" s="2955" t="s">
        <v>3522</v>
      </c>
      <c r="E506" s="2955">
        <v>99.55</v>
      </c>
      <c r="F506" s="3169">
        <v>2091088</v>
      </c>
      <c r="G506" s="3252">
        <f t="shared" si="7"/>
        <v>21005.404319437468</v>
      </c>
    </row>
    <row r="507" spans="1:7">
      <c r="A507" s="2955">
        <v>506</v>
      </c>
      <c r="B507" s="2955" t="s">
        <v>3016</v>
      </c>
      <c r="C507" s="2955" t="s">
        <v>3014</v>
      </c>
      <c r="D507" s="2955" t="s">
        <v>3523</v>
      </c>
      <c r="E507" s="2955">
        <v>123.34</v>
      </c>
      <c r="F507" s="3169">
        <v>2556271</v>
      </c>
      <c r="G507" s="3252">
        <f t="shared" si="7"/>
        <v>20725.401329657856</v>
      </c>
    </row>
    <row r="508" spans="1:7">
      <c r="A508" s="2955">
        <v>507</v>
      </c>
      <c r="B508" s="2955" t="s">
        <v>3016</v>
      </c>
      <c r="C508" s="2955" t="s">
        <v>3014</v>
      </c>
      <c r="D508" s="2955" t="s">
        <v>3524</v>
      </c>
      <c r="E508" s="2955">
        <v>120.35</v>
      </c>
      <c r="F508" s="3169">
        <v>2431232</v>
      </c>
      <c r="G508" s="3252">
        <f t="shared" si="7"/>
        <v>20201.346073950976</v>
      </c>
    </row>
    <row r="509" spans="1:7">
      <c r="A509" s="2955">
        <v>508</v>
      </c>
      <c r="B509" s="2955" t="s">
        <v>3016</v>
      </c>
      <c r="C509" s="2955" t="s">
        <v>3014</v>
      </c>
      <c r="D509" s="2955" t="s">
        <v>3525</v>
      </c>
      <c r="E509" s="2955">
        <v>125.33</v>
      </c>
      <c r="F509" s="3169">
        <v>2660179</v>
      </c>
      <c r="G509" s="3252">
        <f t="shared" si="7"/>
        <v>21225.396952046598</v>
      </c>
    </row>
    <row r="510" spans="1:7">
      <c r="A510" s="2955">
        <v>509</v>
      </c>
      <c r="B510" s="2955" t="s">
        <v>3016</v>
      </c>
      <c r="C510" s="2955" t="s">
        <v>3014</v>
      </c>
      <c r="D510" s="2955" t="s">
        <v>3526</v>
      </c>
      <c r="E510" s="2955">
        <v>125.31</v>
      </c>
      <c r="F510" s="3169">
        <v>2568648</v>
      </c>
      <c r="G510" s="3252">
        <f t="shared" si="7"/>
        <v>20498.348096720132</v>
      </c>
    </row>
    <row r="511" spans="1:7">
      <c r="A511" s="2955">
        <v>510</v>
      </c>
      <c r="B511" s="2955" t="s">
        <v>3016</v>
      </c>
      <c r="C511" s="2955" t="s">
        <v>3014</v>
      </c>
      <c r="D511" s="2955" t="s">
        <v>3527</v>
      </c>
      <c r="E511" s="2955">
        <v>123.34</v>
      </c>
      <c r="F511" s="3169">
        <v>2556271</v>
      </c>
      <c r="G511" s="3252">
        <f t="shared" si="7"/>
        <v>20725.401329657856</v>
      </c>
    </row>
    <row r="512" spans="1:7">
      <c r="A512" s="2955">
        <v>511</v>
      </c>
      <c r="B512" s="2955" t="s">
        <v>3016</v>
      </c>
      <c r="C512" s="2955" t="s">
        <v>3014</v>
      </c>
      <c r="D512" s="2955" t="s">
        <v>3528</v>
      </c>
      <c r="E512" s="2955">
        <v>99.55</v>
      </c>
      <c r="F512" s="3169">
        <v>2128917</v>
      </c>
      <c r="G512" s="3252">
        <f t="shared" si="7"/>
        <v>21385.404319437468</v>
      </c>
    </row>
    <row r="513" spans="1:7">
      <c r="A513" s="2955">
        <v>512</v>
      </c>
      <c r="B513" s="2955" t="s">
        <v>3053</v>
      </c>
      <c r="C513" s="2955" t="s">
        <v>3054</v>
      </c>
      <c r="D513" s="2955" t="s">
        <v>3529</v>
      </c>
      <c r="E513" s="2955">
        <v>99.39</v>
      </c>
      <c r="F513" s="3169">
        <v>2059898</v>
      </c>
      <c r="G513" s="3252">
        <f t="shared" si="7"/>
        <v>20725.404970318945</v>
      </c>
    </row>
    <row r="514" spans="1:7">
      <c r="A514" s="2955">
        <v>513</v>
      </c>
      <c r="B514" s="2955" t="s">
        <v>3053</v>
      </c>
      <c r="C514" s="2955" t="s">
        <v>3054</v>
      </c>
      <c r="D514" s="2955" t="s">
        <v>3530</v>
      </c>
      <c r="E514" s="2955">
        <v>125.33</v>
      </c>
      <c r="F514" s="3169">
        <v>2682739</v>
      </c>
      <c r="G514" s="3252">
        <f t="shared" si="7"/>
        <v>21405.401739407964</v>
      </c>
    </row>
    <row r="515" spans="1:7">
      <c r="A515" s="2955">
        <v>514</v>
      </c>
      <c r="B515" s="2955" t="s">
        <v>3053</v>
      </c>
      <c r="C515" s="2955" t="s">
        <v>3054</v>
      </c>
      <c r="D515" s="2955" t="s">
        <v>3531</v>
      </c>
      <c r="E515" s="2955">
        <v>99.55</v>
      </c>
      <c r="F515" s="3169">
        <v>2120953</v>
      </c>
      <c r="G515" s="3252">
        <f t="shared" ref="G515:G578" si="8">F515/E515</f>
        <v>21305.404319437468</v>
      </c>
    </row>
    <row r="516" spans="1:7">
      <c r="A516" s="2955">
        <v>515</v>
      </c>
      <c r="B516" s="2955" t="s">
        <v>3016</v>
      </c>
      <c r="C516" s="2955" t="s">
        <v>3014</v>
      </c>
      <c r="D516" s="2955" t="s">
        <v>3532</v>
      </c>
      <c r="E516" s="2955">
        <v>99.55</v>
      </c>
      <c r="F516" s="3169">
        <v>2150818</v>
      </c>
      <c r="G516" s="3252">
        <f t="shared" si="8"/>
        <v>21605.404319437468</v>
      </c>
    </row>
    <row r="517" spans="1:7">
      <c r="A517" s="2955">
        <v>516</v>
      </c>
      <c r="B517" s="2955" t="s">
        <v>3016</v>
      </c>
      <c r="C517" s="2955" t="s">
        <v>3014</v>
      </c>
      <c r="D517" s="2955" t="s">
        <v>3533</v>
      </c>
      <c r="E517" s="2955">
        <v>99.56</v>
      </c>
      <c r="F517" s="3169">
        <v>2151034</v>
      </c>
      <c r="G517" s="3252">
        <f t="shared" si="8"/>
        <v>21605.403776617113</v>
      </c>
    </row>
    <row r="518" spans="1:7">
      <c r="A518" s="2955">
        <v>517</v>
      </c>
      <c r="B518" s="2955" t="s">
        <v>3016</v>
      </c>
      <c r="C518" s="2955" t="s">
        <v>3014</v>
      </c>
      <c r="D518" s="2955" t="s">
        <v>3534</v>
      </c>
      <c r="E518" s="2955">
        <v>123.75</v>
      </c>
      <c r="F518" s="3169">
        <v>2619218</v>
      </c>
      <c r="G518" s="3252">
        <f t="shared" si="8"/>
        <v>21165.397979797981</v>
      </c>
    </row>
    <row r="519" spans="1:7">
      <c r="A519" s="2955">
        <v>518</v>
      </c>
      <c r="B519" s="2955" t="s">
        <v>3016</v>
      </c>
      <c r="C519" s="2955" t="s">
        <v>3014</v>
      </c>
      <c r="D519" s="2955" t="s">
        <v>3535</v>
      </c>
      <c r="E519" s="2955">
        <v>99.72</v>
      </c>
      <c r="F519" s="3169">
        <v>2116597</v>
      </c>
      <c r="G519" s="3252">
        <f t="shared" si="8"/>
        <v>21225.401123144806</v>
      </c>
    </row>
    <row r="520" spans="1:7">
      <c r="A520" s="2955">
        <v>519</v>
      </c>
      <c r="B520" s="2955" t="s">
        <v>3016</v>
      </c>
      <c r="C520" s="2955" t="s">
        <v>3014</v>
      </c>
      <c r="D520" s="2955" t="s">
        <v>3536</v>
      </c>
      <c r="E520" s="2955">
        <v>99.39</v>
      </c>
      <c r="F520" s="3169">
        <v>1998276</v>
      </c>
      <c r="G520" s="3252">
        <f t="shared" si="8"/>
        <v>20105.402958044069</v>
      </c>
    </row>
    <row r="521" spans="1:7">
      <c r="A521" s="2955">
        <v>520</v>
      </c>
      <c r="B521" s="2955" t="s">
        <v>3016</v>
      </c>
      <c r="C521" s="2955" t="s">
        <v>3014</v>
      </c>
      <c r="D521" s="2955" t="s">
        <v>3537</v>
      </c>
      <c r="E521" s="2955">
        <v>125.31</v>
      </c>
      <c r="F521" s="3169">
        <v>2619656</v>
      </c>
      <c r="G521" s="3252">
        <f t="shared" si="8"/>
        <v>20905.402601548161</v>
      </c>
    </row>
    <row r="522" spans="1:7">
      <c r="A522" s="2955">
        <v>521</v>
      </c>
      <c r="B522" s="2955" t="s">
        <v>3016</v>
      </c>
      <c r="C522" s="2955" t="s">
        <v>3014</v>
      </c>
      <c r="D522" s="2955" t="s">
        <v>3538</v>
      </c>
      <c r="E522" s="2955">
        <v>99.39</v>
      </c>
      <c r="F522" s="3169">
        <v>2067849</v>
      </c>
      <c r="G522" s="3252">
        <f t="shared" si="8"/>
        <v>20805.402958044069</v>
      </c>
    </row>
    <row r="523" spans="1:7">
      <c r="A523" s="2955">
        <v>522</v>
      </c>
      <c r="B523" s="2955" t="s">
        <v>3016</v>
      </c>
      <c r="C523" s="2955" t="s">
        <v>3014</v>
      </c>
      <c r="D523" s="2955" t="s">
        <v>3539</v>
      </c>
      <c r="E523" s="2955">
        <v>99.56</v>
      </c>
      <c r="F523" s="3169">
        <v>2071386</v>
      </c>
      <c r="G523" s="3252">
        <f t="shared" si="8"/>
        <v>20805.403776617113</v>
      </c>
    </row>
    <row r="524" spans="1:7">
      <c r="A524" s="2955">
        <v>523</v>
      </c>
      <c r="B524" s="2955" t="s">
        <v>3016</v>
      </c>
      <c r="C524" s="2955" t="s">
        <v>3014</v>
      </c>
      <c r="D524" s="2955" t="s">
        <v>3540</v>
      </c>
      <c r="E524" s="2955">
        <v>123.75</v>
      </c>
      <c r="F524" s="3169">
        <v>2636543</v>
      </c>
      <c r="G524" s="3252">
        <f t="shared" si="8"/>
        <v>21305.397979797981</v>
      </c>
    </row>
    <row r="525" spans="1:7">
      <c r="A525" s="2955">
        <v>524</v>
      </c>
      <c r="B525" s="2955" t="s">
        <v>3016</v>
      </c>
      <c r="C525" s="2955" t="s">
        <v>3014</v>
      </c>
      <c r="D525" s="2955" t="s">
        <v>3541</v>
      </c>
      <c r="E525" s="2955">
        <v>99.55</v>
      </c>
      <c r="F525" s="3169">
        <v>2091088</v>
      </c>
      <c r="G525" s="3252">
        <f t="shared" si="8"/>
        <v>21005.404319437468</v>
      </c>
    </row>
    <row r="526" spans="1:7">
      <c r="A526" s="2955">
        <v>525</v>
      </c>
      <c r="B526" s="2955" t="s">
        <v>3016</v>
      </c>
      <c r="C526" s="2955" t="s">
        <v>3014</v>
      </c>
      <c r="D526" s="2955" t="s">
        <v>3542</v>
      </c>
      <c r="E526" s="2955">
        <v>97.87</v>
      </c>
      <c r="F526" s="3169">
        <v>2055798</v>
      </c>
      <c r="G526" s="3252">
        <f t="shared" si="8"/>
        <v>21005.394911617452</v>
      </c>
    </row>
    <row r="527" spans="1:7">
      <c r="A527" s="2955">
        <v>526</v>
      </c>
      <c r="B527" s="2955" t="s">
        <v>3016</v>
      </c>
      <c r="C527" s="2955" t="s">
        <v>3014</v>
      </c>
      <c r="D527" s="2955" t="s">
        <v>3543</v>
      </c>
      <c r="E527" s="2955">
        <v>123.53</v>
      </c>
      <c r="F527" s="3169">
        <v>2646680</v>
      </c>
      <c r="G527" s="3252">
        <f t="shared" si="8"/>
        <v>21425.402736177446</v>
      </c>
    </row>
    <row r="528" spans="1:7">
      <c r="A528" s="2955">
        <v>527</v>
      </c>
      <c r="B528" s="2955" t="s">
        <v>3016</v>
      </c>
      <c r="C528" s="2955" t="s">
        <v>3014</v>
      </c>
      <c r="D528" s="2955" t="s">
        <v>3544</v>
      </c>
      <c r="E528" s="2955">
        <v>125.33</v>
      </c>
      <c r="F528" s="3169">
        <v>2630100</v>
      </c>
      <c r="G528" s="3252">
        <f t="shared" si="8"/>
        <v>20985.39854783372</v>
      </c>
    </row>
    <row r="529" spans="1:7">
      <c r="A529" s="2955">
        <v>528</v>
      </c>
      <c r="B529" s="2955" t="s">
        <v>3016</v>
      </c>
      <c r="C529" s="2955" t="s">
        <v>3014</v>
      </c>
      <c r="D529" s="2955" t="s">
        <v>3545</v>
      </c>
      <c r="E529" s="2955">
        <v>123.53</v>
      </c>
      <c r="F529" s="3169">
        <v>2570091</v>
      </c>
      <c r="G529" s="3252">
        <f t="shared" si="8"/>
        <v>20805.399498097628</v>
      </c>
    </row>
    <row r="530" spans="1:7">
      <c r="A530" s="2955">
        <v>529</v>
      </c>
      <c r="B530" s="2955" t="s">
        <v>3016</v>
      </c>
      <c r="C530" s="2955" t="s">
        <v>3014</v>
      </c>
      <c r="D530" s="2955" t="s">
        <v>3546</v>
      </c>
      <c r="E530" s="2955">
        <v>125.31</v>
      </c>
      <c r="F530" s="3169">
        <v>2569532</v>
      </c>
      <c r="G530" s="3252">
        <f t="shared" si="8"/>
        <v>20505.402601548161</v>
      </c>
    </row>
    <row r="531" spans="1:7">
      <c r="A531" s="2955">
        <v>530</v>
      </c>
      <c r="B531" s="2955" t="s">
        <v>3016</v>
      </c>
      <c r="C531" s="2955" t="s">
        <v>3014</v>
      </c>
      <c r="D531" s="2955" t="s">
        <v>3547</v>
      </c>
      <c r="E531" s="2955">
        <v>99.39</v>
      </c>
      <c r="F531" s="3169">
        <v>2053934</v>
      </c>
      <c r="G531" s="3252">
        <f t="shared" si="8"/>
        <v>20665.398933494314</v>
      </c>
    </row>
    <row r="532" spans="1:7">
      <c r="A532" s="2955">
        <v>531</v>
      </c>
      <c r="B532" s="2955" t="s">
        <v>3016</v>
      </c>
      <c r="C532" s="2955" t="s">
        <v>3014</v>
      </c>
      <c r="D532" s="2955" t="s">
        <v>3548</v>
      </c>
      <c r="E532" s="2955">
        <v>125.54</v>
      </c>
      <c r="F532" s="3169">
        <v>2631996</v>
      </c>
      <c r="G532" s="3252">
        <f t="shared" si="8"/>
        <v>20965.397482873985</v>
      </c>
    </row>
    <row r="533" spans="1:7">
      <c r="A533" s="2955">
        <v>532</v>
      </c>
      <c r="B533" s="2955" t="s">
        <v>3016</v>
      </c>
      <c r="C533" s="2955" t="s">
        <v>3014</v>
      </c>
      <c r="D533" s="2955" t="s">
        <v>3549</v>
      </c>
      <c r="E533" s="2955">
        <v>123.75</v>
      </c>
      <c r="F533" s="3169">
        <v>2596943</v>
      </c>
      <c r="G533" s="3252">
        <f t="shared" si="8"/>
        <v>20985.397979797981</v>
      </c>
    </row>
    <row r="534" spans="1:7">
      <c r="A534" s="2955">
        <v>533</v>
      </c>
      <c r="B534" s="2955" t="s">
        <v>3016</v>
      </c>
      <c r="C534" s="2955" t="s">
        <v>3014</v>
      </c>
      <c r="D534" s="2955" t="s">
        <v>3550</v>
      </c>
      <c r="E534" s="2955">
        <v>123.34</v>
      </c>
      <c r="F534" s="3169">
        <v>2526669</v>
      </c>
      <c r="G534" s="3252">
        <f t="shared" si="8"/>
        <v>20485.398086589914</v>
      </c>
    </row>
    <row r="535" spans="1:7">
      <c r="A535" s="2955">
        <v>534</v>
      </c>
      <c r="B535" s="2955" t="s">
        <v>3016</v>
      </c>
      <c r="C535" s="2955" t="s">
        <v>3014</v>
      </c>
      <c r="D535" s="2955" t="s">
        <v>3551</v>
      </c>
      <c r="E535" s="2955">
        <v>99.72</v>
      </c>
      <c r="F535" s="3169">
        <v>2144518</v>
      </c>
      <c r="G535" s="3252">
        <f t="shared" si="8"/>
        <v>21505.395106297634</v>
      </c>
    </row>
    <row r="536" spans="1:7">
      <c r="A536" s="2955">
        <v>535</v>
      </c>
      <c r="B536" s="2955" t="s">
        <v>3016</v>
      </c>
      <c r="C536" s="2955" t="s">
        <v>3014</v>
      </c>
      <c r="D536" s="2955" t="s">
        <v>3552</v>
      </c>
      <c r="E536" s="2955">
        <v>99.56</v>
      </c>
      <c r="F536" s="3169">
        <v>2151034</v>
      </c>
      <c r="G536" s="3252">
        <f t="shared" si="8"/>
        <v>21605.403776617113</v>
      </c>
    </row>
    <row r="537" spans="1:7">
      <c r="A537" s="2955">
        <v>536</v>
      </c>
      <c r="B537" s="2955" t="s">
        <v>3016</v>
      </c>
      <c r="C537" s="2955" t="s">
        <v>3014</v>
      </c>
      <c r="D537" s="2955" t="s">
        <v>3553</v>
      </c>
      <c r="E537" s="2955">
        <v>123.53</v>
      </c>
      <c r="F537" s="3169">
        <v>2646680</v>
      </c>
      <c r="G537" s="3252">
        <f t="shared" si="8"/>
        <v>21425.402736177446</v>
      </c>
    </row>
    <row r="538" spans="1:7">
      <c r="A538" s="2955">
        <v>537</v>
      </c>
      <c r="B538" s="2955" t="s">
        <v>3016</v>
      </c>
      <c r="C538" s="2955" t="s">
        <v>3014</v>
      </c>
      <c r="D538" s="2955" t="s">
        <v>3554</v>
      </c>
      <c r="E538" s="2955">
        <v>99.56</v>
      </c>
      <c r="F538" s="3169">
        <v>2030960</v>
      </c>
      <c r="G538" s="3252">
        <f t="shared" si="8"/>
        <v>20399.357171554842</v>
      </c>
    </row>
    <row r="539" spans="1:7">
      <c r="A539" s="2955">
        <v>538</v>
      </c>
      <c r="B539" s="2955" t="s">
        <v>3016</v>
      </c>
      <c r="C539" s="2955" t="s">
        <v>3014</v>
      </c>
      <c r="D539" s="2955" t="s">
        <v>3555</v>
      </c>
      <c r="E539" s="2955">
        <v>99.55</v>
      </c>
      <c r="F539" s="3169">
        <v>2130908</v>
      </c>
      <c r="G539" s="3252">
        <f t="shared" si="8"/>
        <v>21405.404319437468</v>
      </c>
    </row>
    <row r="540" spans="1:7">
      <c r="A540" s="2955">
        <v>539</v>
      </c>
      <c r="B540" s="2955" t="s">
        <v>3016</v>
      </c>
      <c r="C540" s="2955" t="s">
        <v>3014</v>
      </c>
      <c r="D540" s="2955" t="s">
        <v>3556</v>
      </c>
      <c r="E540" s="2955">
        <v>123.53</v>
      </c>
      <c r="F540" s="3169">
        <v>2602209</v>
      </c>
      <c r="G540" s="3252">
        <f t="shared" si="8"/>
        <v>21065.401117137539</v>
      </c>
    </row>
    <row r="541" spans="1:7">
      <c r="A541" s="2955">
        <v>540</v>
      </c>
      <c r="B541" s="2955" t="s">
        <v>3016</v>
      </c>
      <c r="C541" s="2955" t="s">
        <v>3014</v>
      </c>
      <c r="D541" s="2955" t="s">
        <v>3557</v>
      </c>
      <c r="E541" s="2955">
        <v>123.53</v>
      </c>
      <c r="F541" s="3169">
        <v>2644209</v>
      </c>
      <c r="G541" s="3252">
        <f t="shared" si="8"/>
        <v>21405.399498097628</v>
      </c>
    </row>
    <row r="542" spans="1:7">
      <c r="A542" s="2955">
        <v>541</v>
      </c>
      <c r="B542" s="2955" t="s">
        <v>3016</v>
      </c>
      <c r="C542" s="2955" t="s">
        <v>3014</v>
      </c>
      <c r="D542" s="2955" t="s">
        <v>3558</v>
      </c>
      <c r="E542" s="2955">
        <v>123.75</v>
      </c>
      <c r="F542" s="3169">
        <v>2549918</v>
      </c>
      <c r="G542" s="3252">
        <f t="shared" si="8"/>
        <v>20605.397979797981</v>
      </c>
    </row>
    <row r="543" spans="1:7">
      <c r="A543" s="2955">
        <v>542</v>
      </c>
      <c r="B543" s="2955" t="s">
        <v>3016</v>
      </c>
      <c r="C543" s="2955" t="s">
        <v>3014</v>
      </c>
      <c r="D543" s="2955" t="s">
        <v>3559</v>
      </c>
      <c r="E543" s="2955">
        <v>125.12</v>
      </c>
      <c r="F543" s="3169">
        <v>2593162</v>
      </c>
      <c r="G543" s="3252">
        <f t="shared" si="8"/>
        <v>20725.399616368286</v>
      </c>
    </row>
    <row r="544" spans="1:7">
      <c r="A544" s="2955">
        <v>543</v>
      </c>
      <c r="B544" s="2955" t="s">
        <v>3016</v>
      </c>
      <c r="C544" s="2955" t="s">
        <v>3014</v>
      </c>
      <c r="D544" s="2955" t="s">
        <v>3560</v>
      </c>
      <c r="E544" s="2955">
        <v>99.55</v>
      </c>
      <c r="F544" s="3169">
        <v>1991538</v>
      </c>
      <c r="G544" s="3252">
        <f t="shared" si="8"/>
        <v>20005.404319437468</v>
      </c>
    </row>
    <row r="545" spans="1:7">
      <c r="A545" s="2955">
        <v>544</v>
      </c>
      <c r="B545" s="2955" t="s">
        <v>3016</v>
      </c>
      <c r="C545" s="2955" t="s">
        <v>3014</v>
      </c>
      <c r="D545" s="2955" t="s">
        <v>3561</v>
      </c>
      <c r="E545" s="2955">
        <v>99.55</v>
      </c>
      <c r="F545" s="3169">
        <v>2152809</v>
      </c>
      <c r="G545" s="3252">
        <f t="shared" si="8"/>
        <v>21625.404319437468</v>
      </c>
    </row>
    <row r="546" spans="1:7">
      <c r="A546" s="2955">
        <v>545</v>
      </c>
      <c r="B546" s="2955" t="s">
        <v>3016</v>
      </c>
      <c r="C546" s="2955" t="s">
        <v>3014</v>
      </c>
      <c r="D546" s="2955" t="s">
        <v>3562</v>
      </c>
      <c r="E546" s="2955">
        <v>97.72</v>
      </c>
      <c r="F546" s="3169">
        <v>1945156</v>
      </c>
      <c r="G546" s="3252">
        <f t="shared" si="8"/>
        <v>19905.403192795744</v>
      </c>
    </row>
    <row r="547" spans="1:7">
      <c r="A547" s="2955">
        <v>546</v>
      </c>
      <c r="B547" s="2955" t="s">
        <v>3016</v>
      </c>
      <c r="C547" s="2955" t="s">
        <v>3014</v>
      </c>
      <c r="D547" s="2955" t="s">
        <v>3563</v>
      </c>
      <c r="E547" s="2955">
        <v>123.75</v>
      </c>
      <c r="F547" s="3169">
        <v>2561173</v>
      </c>
      <c r="G547" s="3252">
        <f t="shared" si="8"/>
        <v>20696.347474747476</v>
      </c>
    </row>
    <row r="548" spans="1:7">
      <c r="A548" s="2955">
        <v>547</v>
      </c>
      <c r="B548" s="2955" t="s">
        <v>3016</v>
      </c>
      <c r="C548" s="2955" t="s">
        <v>3014</v>
      </c>
      <c r="D548" s="2955" t="s">
        <v>3564</v>
      </c>
      <c r="E548" s="2955">
        <v>99.55</v>
      </c>
      <c r="F548" s="3169">
        <v>2120953</v>
      </c>
      <c r="G548" s="3252">
        <f t="shared" si="8"/>
        <v>21305.404319437468</v>
      </c>
    </row>
    <row r="549" spans="1:7">
      <c r="A549" s="2955">
        <v>548</v>
      </c>
      <c r="B549" s="2955" t="s">
        <v>3016</v>
      </c>
      <c r="C549" s="2955" t="s">
        <v>3014</v>
      </c>
      <c r="D549" s="2955" t="s">
        <v>3565</v>
      </c>
      <c r="E549" s="2955">
        <v>97.87</v>
      </c>
      <c r="F549" s="3169">
        <v>2016650</v>
      </c>
      <c r="G549" s="3252">
        <f t="shared" si="8"/>
        <v>20605.394911617452</v>
      </c>
    </row>
    <row r="550" spans="1:7">
      <c r="A550" s="2955">
        <v>549</v>
      </c>
      <c r="B550" s="2955" t="s">
        <v>3016</v>
      </c>
      <c r="C550" s="2955" t="s">
        <v>3014</v>
      </c>
      <c r="D550" s="2955" t="s">
        <v>3566</v>
      </c>
      <c r="E550" s="2955">
        <v>97.88</v>
      </c>
      <c r="F550" s="3169">
        <v>2046221</v>
      </c>
      <c r="G550" s="3252">
        <f t="shared" si="8"/>
        <v>20905.404577033103</v>
      </c>
    </row>
    <row r="551" spans="1:7">
      <c r="A551" s="2955">
        <v>550</v>
      </c>
      <c r="B551" s="2955" t="s">
        <v>3016</v>
      </c>
      <c r="C551" s="2955" t="s">
        <v>3014</v>
      </c>
      <c r="D551" s="2955" t="s">
        <v>3567</v>
      </c>
      <c r="E551" s="2955">
        <v>99.55</v>
      </c>
      <c r="F551" s="3169">
        <v>2140863</v>
      </c>
      <c r="G551" s="3252">
        <f t="shared" si="8"/>
        <v>21505.404319437468</v>
      </c>
    </row>
    <row r="552" spans="1:7">
      <c r="A552" s="2955">
        <v>551</v>
      </c>
      <c r="B552" s="2955" t="s">
        <v>3016</v>
      </c>
      <c r="C552" s="2955" t="s">
        <v>3014</v>
      </c>
      <c r="D552" s="2955" t="s">
        <v>3568</v>
      </c>
      <c r="E552" s="2955">
        <v>123.53</v>
      </c>
      <c r="F552" s="3169">
        <v>2594797</v>
      </c>
      <c r="G552" s="3252">
        <f t="shared" si="8"/>
        <v>21005.399498097628</v>
      </c>
    </row>
    <row r="553" spans="1:7">
      <c r="A553" s="2955">
        <v>552</v>
      </c>
      <c r="B553" s="2955" t="s">
        <v>3016</v>
      </c>
      <c r="C553" s="2955" t="s">
        <v>3014</v>
      </c>
      <c r="D553" s="2955" t="s">
        <v>3569</v>
      </c>
      <c r="E553" s="2955">
        <v>123.34</v>
      </c>
      <c r="F553" s="3169">
        <v>2578472</v>
      </c>
      <c r="G553" s="3252">
        <f t="shared" si="8"/>
        <v>20905.399708123885</v>
      </c>
    </row>
    <row r="554" spans="1:7">
      <c r="A554" s="2955">
        <v>553</v>
      </c>
      <c r="B554" s="2955" t="s">
        <v>3016</v>
      </c>
      <c r="C554" s="2955" t="s">
        <v>3014</v>
      </c>
      <c r="D554" s="2955" t="s">
        <v>3570</v>
      </c>
      <c r="E554" s="2955">
        <v>99.56</v>
      </c>
      <c r="F554" s="3169">
        <v>2121166</v>
      </c>
      <c r="G554" s="3252">
        <f t="shared" si="8"/>
        <v>21305.403776617113</v>
      </c>
    </row>
    <row r="555" spans="1:7">
      <c r="A555" s="2955">
        <v>554</v>
      </c>
      <c r="B555" s="2955" t="s">
        <v>3016</v>
      </c>
      <c r="C555" s="2955" t="s">
        <v>3014</v>
      </c>
      <c r="D555" s="2955" t="s">
        <v>3571</v>
      </c>
      <c r="E555" s="2955">
        <v>123.75</v>
      </c>
      <c r="F555" s="3169">
        <v>2648918</v>
      </c>
      <c r="G555" s="3252">
        <f t="shared" si="8"/>
        <v>21405.397979797981</v>
      </c>
    </row>
    <row r="556" spans="1:7">
      <c r="A556" s="2955">
        <v>555</v>
      </c>
      <c r="B556" s="2955" t="s">
        <v>3572</v>
      </c>
      <c r="C556" s="2955" t="s">
        <v>3573</v>
      </c>
      <c r="D556" s="2955" t="s">
        <v>3574</v>
      </c>
      <c r="E556" s="2955">
        <v>125.33</v>
      </c>
      <c r="F556" s="3169">
        <v>2595008</v>
      </c>
      <c r="G556" s="3252">
        <f t="shared" si="8"/>
        <v>20705.401739407964</v>
      </c>
    </row>
    <row r="557" spans="1:7">
      <c r="A557" s="2955">
        <v>556</v>
      </c>
      <c r="B557" s="2955" t="s">
        <v>3572</v>
      </c>
      <c r="C557" s="2955" t="s">
        <v>3573</v>
      </c>
      <c r="D557" s="2955" t="s">
        <v>3575</v>
      </c>
      <c r="E557" s="2955">
        <v>125.33</v>
      </c>
      <c r="F557" s="3169">
        <v>2670206</v>
      </c>
      <c r="G557" s="3252">
        <f t="shared" si="8"/>
        <v>21305.401739407964</v>
      </c>
    </row>
    <row r="558" spans="1:7">
      <c r="A558" s="2955">
        <v>557</v>
      </c>
      <c r="B558" s="2955" t="s">
        <v>3572</v>
      </c>
      <c r="C558" s="2955" t="s">
        <v>3573</v>
      </c>
      <c r="D558" s="2955" t="s">
        <v>3576</v>
      </c>
      <c r="E558" s="2955">
        <v>99.72</v>
      </c>
      <c r="F558" s="3169">
        <v>2124574</v>
      </c>
      <c r="G558" s="3252">
        <f t="shared" si="8"/>
        <v>21305.395106297634</v>
      </c>
    </row>
    <row r="559" spans="1:7">
      <c r="A559" s="2955">
        <v>558</v>
      </c>
      <c r="B559" s="2955" t="s">
        <v>3572</v>
      </c>
      <c r="C559" s="2955" t="s">
        <v>3573</v>
      </c>
      <c r="D559" s="2955" t="s">
        <v>3577</v>
      </c>
      <c r="E559" s="2955">
        <v>99.72</v>
      </c>
      <c r="F559" s="3169">
        <v>2146513</v>
      </c>
      <c r="G559" s="3252">
        <f t="shared" si="8"/>
        <v>21525.401123144806</v>
      </c>
    </row>
    <row r="560" spans="1:7">
      <c r="A560" s="2955">
        <v>559</v>
      </c>
      <c r="B560" s="2955" t="s">
        <v>3572</v>
      </c>
      <c r="C560" s="2955" t="s">
        <v>3573</v>
      </c>
      <c r="D560" s="2955" t="s">
        <v>3578</v>
      </c>
      <c r="E560" s="2955">
        <v>123.34</v>
      </c>
      <c r="F560" s="3169">
        <v>2504468</v>
      </c>
      <c r="G560" s="3252">
        <f t="shared" si="8"/>
        <v>20305.399708123885</v>
      </c>
    </row>
    <row r="561" spans="1:7">
      <c r="A561" s="2955">
        <v>560</v>
      </c>
      <c r="B561" s="2955" t="s">
        <v>3572</v>
      </c>
      <c r="C561" s="2955" t="s">
        <v>3573</v>
      </c>
      <c r="D561" s="2955" t="s">
        <v>3579</v>
      </c>
      <c r="E561" s="2955">
        <v>123.54</v>
      </c>
      <c r="F561" s="3169">
        <v>2632069</v>
      </c>
      <c r="G561" s="3252">
        <f t="shared" si="8"/>
        <v>21305.399061032862</v>
      </c>
    </row>
    <row r="562" spans="1:7">
      <c r="A562" s="2955">
        <v>561</v>
      </c>
      <c r="B562" s="2955" t="s">
        <v>3572</v>
      </c>
      <c r="C562" s="2955" t="s">
        <v>3573</v>
      </c>
      <c r="D562" s="2955" t="s">
        <v>3580</v>
      </c>
      <c r="E562" s="2955">
        <v>125.54</v>
      </c>
      <c r="F562" s="3169">
        <v>2599356</v>
      </c>
      <c r="G562" s="3252">
        <f t="shared" si="8"/>
        <v>20705.400669109447</v>
      </c>
    </row>
    <row r="563" spans="1:7">
      <c r="A563" s="2955">
        <v>562</v>
      </c>
      <c r="B563" s="2955" t="s">
        <v>3572</v>
      </c>
      <c r="C563" s="2955" t="s">
        <v>3573</v>
      </c>
      <c r="D563" s="2955" t="s">
        <v>3581</v>
      </c>
      <c r="E563" s="2955">
        <v>99.56</v>
      </c>
      <c r="F563" s="3169">
        <v>2151034</v>
      </c>
      <c r="G563" s="3252">
        <f t="shared" si="8"/>
        <v>21605.403776617113</v>
      </c>
    </row>
    <row r="564" spans="1:7">
      <c r="A564" s="2955">
        <v>563</v>
      </c>
      <c r="B564" s="2955" t="s">
        <v>3572</v>
      </c>
      <c r="C564" s="2955" t="s">
        <v>3573</v>
      </c>
      <c r="D564" s="2955" t="s">
        <v>3582</v>
      </c>
      <c r="E564" s="2955">
        <v>122.37</v>
      </c>
      <c r="F564" s="3169">
        <v>2509246</v>
      </c>
      <c r="G564" s="3252">
        <f t="shared" si="8"/>
        <v>20505.401650731386</v>
      </c>
    </row>
    <row r="565" spans="1:7">
      <c r="A565" s="2955">
        <v>564</v>
      </c>
      <c r="B565" s="2955" t="s">
        <v>3572</v>
      </c>
      <c r="C565" s="2955" t="s">
        <v>3573</v>
      </c>
      <c r="D565" s="2955" t="s">
        <v>3583</v>
      </c>
      <c r="E565" s="2955">
        <v>125.12</v>
      </c>
      <c r="F565" s="3169">
        <v>2603172</v>
      </c>
      <c r="G565" s="3252">
        <f t="shared" si="8"/>
        <v>20805.402813299232</v>
      </c>
    </row>
    <row r="566" spans="1:7">
      <c r="A566" s="2955">
        <v>565</v>
      </c>
      <c r="B566" s="2955" t="s">
        <v>3572</v>
      </c>
      <c r="C566" s="2955" t="s">
        <v>3573</v>
      </c>
      <c r="D566" s="2955" t="s">
        <v>3584</v>
      </c>
      <c r="E566" s="2955">
        <v>99.39</v>
      </c>
      <c r="F566" s="3169">
        <v>1898886</v>
      </c>
      <c r="G566" s="3252">
        <f t="shared" si="8"/>
        <v>19105.402958044069</v>
      </c>
    </row>
    <row r="567" spans="1:7">
      <c r="A567" s="2955">
        <v>566</v>
      </c>
      <c r="B567" s="2955" t="s">
        <v>3572</v>
      </c>
      <c r="C567" s="2955" t="s">
        <v>3573</v>
      </c>
      <c r="D567" s="2955" t="s">
        <v>3585</v>
      </c>
      <c r="E567" s="2955">
        <v>125.54</v>
      </c>
      <c r="F567" s="3169">
        <v>2586802</v>
      </c>
      <c r="G567" s="3252">
        <f t="shared" si="8"/>
        <v>20605.400669109447</v>
      </c>
    </row>
    <row r="568" spans="1:7">
      <c r="A568" s="2955">
        <v>567</v>
      </c>
      <c r="B568" s="2955" t="s">
        <v>3572</v>
      </c>
      <c r="C568" s="2955" t="s">
        <v>3573</v>
      </c>
      <c r="D568" s="2955" t="s">
        <v>3586</v>
      </c>
      <c r="E568" s="2955">
        <v>120.57</v>
      </c>
      <c r="F568" s="3169">
        <v>2484393</v>
      </c>
      <c r="G568" s="3252">
        <f t="shared" si="8"/>
        <v>20605.399353072906</v>
      </c>
    </row>
    <row r="569" spans="1:7">
      <c r="A569" s="2955">
        <v>568</v>
      </c>
      <c r="B569" s="2955" t="s">
        <v>3572</v>
      </c>
      <c r="C569" s="2955" t="s">
        <v>3573</v>
      </c>
      <c r="D569" s="2955" t="s">
        <v>3587</v>
      </c>
      <c r="E569" s="2955">
        <v>98.04</v>
      </c>
      <c r="F569" s="3169">
        <v>2049565</v>
      </c>
      <c r="G569" s="3252">
        <f t="shared" si="8"/>
        <v>20905.395756833943</v>
      </c>
    </row>
    <row r="570" spans="1:7">
      <c r="A570" s="2955">
        <v>569</v>
      </c>
      <c r="B570" s="2955" t="s">
        <v>3572</v>
      </c>
      <c r="C570" s="2955" t="s">
        <v>3573</v>
      </c>
      <c r="D570" s="2955" t="s">
        <v>3588</v>
      </c>
      <c r="E570" s="2955">
        <v>125.12</v>
      </c>
      <c r="F570" s="3169">
        <v>2490432</v>
      </c>
      <c r="G570" s="3252">
        <f t="shared" si="8"/>
        <v>19904.347826086956</v>
      </c>
    </row>
    <row r="571" spans="1:7">
      <c r="A571" s="2955">
        <v>570</v>
      </c>
      <c r="B571" s="2955" t="s">
        <v>3572</v>
      </c>
      <c r="C571" s="2955" t="s">
        <v>3573</v>
      </c>
      <c r="D571" s="2955" t="s">
        <v>3589</v>
      </c>
      <c r="E571" s="2955">
        <v>123.54</v>
      </c>
      <c r="F571" s="3169">
        <v>2619715</v>
      </c>
      <c r="G571" s="3252">
        <f t="shared" si="8"/>
        <v>21205.399061032862</v>
      </c>
    </row>
    <row r="572" spans="1:7">
      <c r="A572" s="2955">
        <v>571</v>
      </c>
      <c r="B572" s="2955" t="s">
        <v>3572</v>
      </c>
      <c r="C572" s="2955" t="s">
        <v>3573</v>
      </c>
      <c r="D572" s="2955" t="s">
        <v>3590</v>
      </c>
      <c r="E572" s="2955">
        <v>123.54</v>
      </c>
      <c r="F572" s="3169">
        <v>2577712</v>
      </c>
      <c r="G572" s="3252">
        <f t="shared" si="8"/>
        <v>20865.403917759428</v>
      </c>
    </row>
    <row r="573" spans="1:7">
      <c r="A573" s="2955">
        <v>572</v>
      </c>
      <c r="B573" s="2955" t="s">
        <v>3572</v>
      </c>
      <c r="C573" s="2955" t="s">
        <v>3573</v>
      </c>
      <c r="D573" s="2955" t="s">
        <v>3591</v>
      </c>
      <c r="E573" s="2955">
        <v>125.33</v>
      </c>
      <c r="F573" s="3169">
        <v>2670206</v>
      </c>
      <c r="G573" s="3252">
        <f t="shared" si="8"/>
        <v>21305.401739407964</v>
      </c>
    </row>
    <row r="574" spans="1:7">
      <c r="A574" s="2955">
        <v>573</v>
      </c>
      <c r="B574" s="2955" t="s">
        <v>3572</v>
      </c>
      <c r="C574" s="2955" t="s">
        <v>3573</v>
      </c>
      <c r="D574" s="2955" t="s">
        <v>3592</v>
      </c>
      <c r="E574" s="2955">
        <v>125.12</v>
      </c>
      <c r="F574" s="3169">
        <v>2615684</v>
      </c>
      <c r="G574" s="3252">
        <f t="shared" si="8"/>
        <v>20905.402813299232</v>
      </c>
    </row>
    <row r="575" spans="1:7">
      <c r="A575" s="2955">
        <v>574</v>
      </c>
      <c r="B575" s="2955" t="s">
        <v>3572</v>
      </c>
      <c r="C575" s="2955" t="s">
        <v>3573</v>
      </c>
      <c r="D575" s="2955" t="s">
        <v>3593</v>
      </c>
      <c r="E575" s="2955">
        <v>123.75</v>
      </c>
      <c r="F575" s="3169">
        <v>2624168</v>
      </c>
      <c r="G575" s="3252">
        <f t="shared" si="8"/>
        <v>21205.397979797981</v>
      </c>
    </row>
    <row r="576" spans="1:7">
      <c r="A576" s="2955">
        <v>575</v>
      </c>
      <c r="B576" s="2955" t="s">
        <v>3572</v>
      </c>
      <c r="C576" s="2955" t="s">
        <v>3573</v>
      </c>
      <c r="D576" s="2955" t="s">
        <v>3594</v>
      </c>
      <c r="E576" s="2955">
        <v>99.39</v>
      </c>
      <c r="F576" s="3169">
        <v>2059898</v>
      </c>
      <c r="G576" s="3252">
        <f t="shared" si="8"/>
        <v>20725.404970318945</v>
      </c>
    </row>
    <row r="577" spans="1:7">
      <c r="A577" s="2955">
        <v>576</v>
      </c>
      <c r="B577" s="2955" t="s">
        <v>3572</v>
      </c>
      <c r="C577" s="2955" t="s">
        <v>3573</v>
      </c>
      <c r="D577" s="2955" t="s">
        <v>3595</v>
      </c>
      <c r="E577" s="2955">
        <v>99.56</v>
      </c>
      <c r="F577" s="3169">
        <v>2162981</v>
      </c>
      <c r="G577" s="3252">
        <f t="shared" si="8"/>
        <v>21725.401767778225</v>
      </c>
    </row>
    <row r="578" spans="1:7">
      <c r="A578" s="2955">
        <v>577</v>
      </c>
      <c r="B578" s="2955" t="s">
        <v>3572</v>
      </c>
      <c r="C578" s="2955" t="s">
        <v>3573</v>
      </c>
      <c r="D578" s="2955" t="s">
        <v>3596</v>
      </c>
      <c r="E578" s="2955">
        <v>125.31</v>
      </c>
      <c r="F578" s="3169">
        <v>2674742</v>
      </c>
      <c r="G578" s="3252">
        <f t="shared" si="8"/>
        <v>21345.000399010452</v>
      </c>
    </row>
    <row r="579" spans="1:7">
      <c r="A579" s="2955">
        <v>578</v>
      </c>
      <c r="B579" s="2955" t="s">
        <v>3572</v>
      </c>
      <c r="C579" s="2955" t="s">
        <v>3573</v>
      </c>
      <c r="D579" s="2955" t="s">
        <v>3597</v>
      </c>
      <c r="E579" s="2955">
        <v>122.37</v>
      </c>
      <c r="F579" s="3169">
        <v>2497009</v>
      </c>
      <c r="G579" s="3252">
        <f t="shared" ref="G579:G642" si="9">F579/E579</f>
        <v>20405.401650731386</v>
      </c>
    </row>
    <row r="580" spans="1:7">
      <c r="A580" s="2955">
        <v>579</v>
      </c>
      <c r="B580" s="2955" t="s">
        <v>3572</v>
      </c>
      <c r="C580" s="2955" t="s">
        <v>3573</v>
      </c>
      <c r="D580" s="2955" t="s">
        <v>3598</v>
      </c>
      <c r="E580" s="2955">
        <v>97.87</v>
      </c>
      <c r="F580" s="3169">
        <v>2028279</v>
      </c>
      <c r="G580" s="3252">
        <f t="shared" si="9"/>
        <v>20724.215796464698</v>
      </c>
    </row>
    <row r="581" spans="1:7">
      <c r="A581" s="2955">
        <v>580</v>
      </c>
      <c r="B581" s="2955" t="s">
        <v>3572</v>
      </c>
      <c r="C581" s="2955" t="s">
        <v>3573</v>
      </c>
      <c r="D581" s="2955" t="s">
        <v>3599</v>
      </c>
      <c r="E581" s="2955">
        <v>97.72</v>
      </c>
      <c r="F581" s="3169">
        <v>1945156</v>
      </c>
      <c r="G581" s="3252">
        <f t="shared" si="9"/>
        <v>19905.403192795744</v>
      </c>
    </row>
    <row r="582" spans="1:7">
      <c r="A582" s="2955">
        <v>581</v>
      </c>
      <c r="B582" s="2955" t="s">
        <v>3572</v>
      </c>
      <c r="C582" s="2955" t="s">
        <v>3573</v>
      </c>
      <c r="D582" s="2955" t="s">
        <v>3600</v>
      </c>
      <c r="E582" s="2955">
        <v>125.54</v>
      </c>
      <c r="F582" s="3169">
        <v>2436154</v>
      </c>
      <c r="G582" s="3252">
        <f t="shared" si="9"/>
        <v>19405.400669109447</v>
      </c>
    </row>
    <row r="583" spans="1:7">
      <c r="A583" s="2955">
        <v>582</v>
      </c>
      <c r="B583" s="2955" t="s">
        <v>3572</v>
      </c>
      <c r="C583" s="2955" t="s">
        <v>3573</v>
      </c>
      <c r="D583" s="2955" t="s">
        <v>3601</v>
      </c>
      <c r="E583" s="2955">
        <v>123.75</v>
      </c>
      <c r="F583" s="3169">
        <v>2426168</v>
      </c>
      <c r="G583" s="3252">
        <f t="shared" si="9"/>
        <v>19605.397979797981</v>
      </c>
    </row>
    <row r="584" spans="1:7">
      <c r="A584" s="2955">
        <v>583</v>
      </c>
      <c r="B584" s="2955" t="s">
        <v>3572</v>
      </c>
      <c r="C584" s="2955" t="s">
        <v>3573</v>
      </c>
      <c r="D584" s="2955" t="s">
        <v>3602</v>
      </c>
      <c r="E584" s="2955">
        <v>123.34</v>
      </c>
      <c r="F584" s="3169">
        <v>2553804</v>
      </c>
      <c r="G584" s="3252">
        <f t="shared" si="9"/>
        <v>20705.399708123885</v>
      </c>
    </row>
    <row r="585" spans="1:7">
      <c r="A585" s="2955">
        <v>584</v>
      </c>
      <c r="B585" s="2955" t="s">
        <v>3572</v>
      </c>
      <c r="C585" s="2955" t="s">
        <v>3573</v>
      </c>
      <c r="D585" s="2955" t="s">
        <v>3603</v>
      </c>
      <c r="E585" s="2955">
        <v>122.16</v>
      </c>
      <c r="F585" s="3169">
        <v>2517156</v>
      </c>
      <c r="G585" s="3252">
        <f t="shared" si="9"/>
        <v>20605.402750491161</v>
      </c>
    </row>
    <row r="586" spans="1:7">
      <c r="A586" s="2955">
        <v>585</v>
      </c>
      <c r="B586" s="2955" t="s">
        <v>3572</v>
      </c>
      <c r="C586" s="2955" t="s">
        <v>3573</v>
      </c>
      <c r="D586" s="2955" t="s">
        <v>3604</v>
      </c>
      <c r="E586" s="2955">
        <v>122.15</v>
      </c>
      <c r="F586" s="3169">
        <v>2468090</v>
      </c>
      <c r="G586" s="3252">
        <f t="shared" si="9"/>
        <v>20205.40319279574</v>
      </c>
    </row>
    <row r="587" spans="1:7">
      <c r="A587" s="2955">
        <v>586</v>
      </c>
      <c r="B587" s="2955" t="s">
        <v>3572</v>
      </c>
      <c r="C587" s="2955" t="s">
        <v>3573</v>
      </c>
      <c r="D587" s="2955" t="s">
        <v>3605</v>
      </c>
      <c r="E587" s="2955">
        <v>123.34</v>
      </c>
      <c r="F587" s="3169">
        <v>2556271</v>
      </c>
      <c r="G587" s="3252">
        <f t="shared" si="9"/>
        <v>20725.401329657856</v>
      </c>
    </row>
    <row r="588" spans="1:7">
      <c r="A588" s="2955">
        <v>587</v>
      </c>
      <c r="B588" s="2955" t="s">
        <v>3572</v>
      </c>
      <c r="C588" s="2955" t="s">
        <v>3573</v>
      </c>
      <c r="D588" s="2955" t="s">
        <v>3606</v>
      </c>
      <c r="E588" s="2955">
        <v>123.54</v>
      </c>
      <c r="F588" s="3169">
        <v>2508529</v>
      </c>
      <c r="G588" s="3252">
        <f t="shared" si="9"/>
        <v>20305.399061032862</v>
      </c>
    </row>
    <row r="589" spans="1:7">
      <c r="A589" s="2955">
        <v>588</v>
      </c>
      <c r="B589" s="2955" t="s">
        <v>3572</v>
      </c>
      <c r="C589" s="2955" t="s">
        <v>3573</v>
      </c>
      <c r="D589" s="2955" t="s">
        <v>3607</v>
      </c>
      <c r="E589" s="2955">
        <v>125.33</v>
      </c>
      <c r="F589" s="3169">
        <v>2660179</v>
      </c>
      <c r="G589" s="3252">
        <f t="shared" si="9"/>
        <v>21225.396952046598</v>
      </c>
    </row>
    <row r="590" spans="1:7">
      <c r="A590" s="2955">
        <v>589</v>
      </c>
      <c r="B590" s="2955" t="s">
        <v>3572</v>
      </c>
      <c r="C590" s="2955" t="s">
        <v>3573</v>
      </c>
      <c r="D590" s="2955" t="s">
        <v>3608</v>
      </c>
      <c r="E590" s="2955">
        <v>125.12</v>
      </c>
      <c r="F590" s="3169">
        <v>2590660</v>
      </c>
      <c r="G590" s="3252">
        <f t="shared" si="9"/>
        <v>20705.402813299232</v>
      </c>
    </row>
    <row r="591" spans="1:7">
      <c r="A591" s="2955">
        <v>590</v>
      </c>
      <c r="B591" s="2955" t="s">
        <v>3572</v>
      </c>
      <c r="C591" s="2955" t="s">
        <v>3573</v>
      </c>
      <c r="D591" s="2955" t="s">
        <v>3609</v>
      </c>
      <c r="E591" s="2955">
        <v>99.55</v>
      </c>
      <c r="F591" s="3169">
        <v>2174670</v>
      </c>
      <c r="G591" s="3252">
        <f t="shared" si="9"/>
        <v>21845.002511300856</v>
      </c>
    </row>
    <row r="592" spans="1:7">
      <c r="A592" s="2955">
        <v>591</v>
      </c>
      <c r="B592" s="2955" t="s">
        <v>3572</v>
      </c>
      <c r="C592" s="2955" t="s">
        <v>3573</v>
      </c>
      <c r="D592" s="2955" t="s">
        <v>3610</v>
      </c>
      <c r="E592" s="2955">
        <v>125.12</v>
      </c>
      <c r="F592" s="3169">
        <v>2563133</v>
      </c>
      <c r="G592" s="3252">
        <f t="shared" si="9"/>
        <v>20485.398017902811</v>
      </c>
    </row>
    <row r="593" spans="1:7">
      <c r="A593" s="2955">
        <v>592</v>
      </c>
      <c r="B593" s="2955" t="s">
        <v>3572</v>
      </c>
      <c r="C593" s="2955" t="s">
        <v>3573</v>
      </c>
      <c r="D593" s="2955" t="s">
        <v>3611</v>
      </c>
      <c r="E593" s="2955">
        <v>123.75</v>
      </c>
      <c r="F593" s="3169">
        <v>2589518</v>
      </c>
      <c r="G593" s="3252">
        <f t="shared" si="9"/>
        <v>20925.397979797981</v>
      </c>
    </row>
    <row r="594" spans="1:7">
      <c r="A594" s="2955">
        <v>593</v>
      </c>
      <c r="B594" s="2955" t="s">
        <v>3572</v>
      </c>
      <c r="C594" s="2955" t="s">
        <v>3573</v>
      </c>
      <c r="D594" s="2955" t="s">
        <v>3612</v>
      </c>
      <c r="E594" s="2955">
        <v>99.55</v>
      </c>
      <c r="F594" s="3169">
        <v>2184625</v>
      </c>
      <c r="G594" s="3252">
        <f t="shared" si="9"/>
        <v>21945.002511300856</v>
      </c>
    </row>
    <row r="595" spans="1:7">
      <c r="A595" s="2955">
        <v>594</v>
      </c>
      <c r="B595" s="2955" t="s">
        <v>3572</v>
      </c>
      <c r="C595" s="2955" t="s">
        <v>3573</v>
      </c>
      <c r="D595" s="2955" t="s">
        <v>3613</v>
      </c>
      <c r="E595" s="2955">
        <v>123.34</v>
      </c>
      <c r="F595" s="3169">
        <v>2492134</v>
      </c>
      <c r="G595" s="3252">
        <f t="shared" si="9"/>
        <v>20205.399708123885</v>
      </c>
    </row>
    <row r="596" spans="1:7">
      <c r="A596" s="2955">
        <v>595</v>
      </c>
      <c r="B596" s="2955" t="s">
        <v>3572</v>
      </c>
      <c r="C596" s="2955" t="s">
        <v>3573</v>
      </c>
      <c r="D596" s="2955" t="s">
        <v>3614</v>
      </c>
      <c r="E596" s="2955">
        <v>97.85</v>
      </c>
      <c r="F596" s="3169">
        <v>2000543</v>
      </c>
      <c r="G596" s="3252">
        <f t="shared" si="9"/>
        <v>20444.997445068984</v>
      </c>
    </row>
    <row r="597" spans="1:7">
      <c r="A597" s="2955">
        <v>596</v>
      </c>
      <c r="B597" s="2955" t="s">
        <v>3572</v>
      </c>
      <c r="C597" s="2955" t="s">
        <v>3573</v>
      </c>
      <c r="D597" s="2955" t="s">
        <v>3615</v>
      </c>
      <c r="E597" s="2955">
        <v>125.54</v>
      </c>
      <c r="F597" s="3169">
        <v>2662126</v>
      </c>
      <c r="G597" s="3252">
        <f t="shared" si="9"/>
        <v>21205.400669109447</v>
      </c>
    </row>
    <row r="598" spans="1:7">
      <c r="A598" s="2955">
        <v>597</v>
      </c>
      <c r="B598" s="2955" t="s">
        <v>3572</v>
      </c>
      <c r="C598" s="2955" t="s">
        <v>3573</v>
      </c>
      <c r="D598" s="2955" t="s">
        <v>3616</v>
      </c>
      <c r="E598" s="2955">
        <v>99.55</v>
      </c>
      <c r="F598" s="3169">
        <v>2138872</v>
      </c>
      <c r="G598" s="3252">
        <f t="shared" si="9"/>
        <v>21485.404319437468</v>
      </c>
    </row>
    <row r="599" spans="1:7">
      <c r="A599" s="2955">
        <v>598</v>
      </c>
      <c r="B599" s="2955" t="s">
        <v>3572</v>
      </c>
      <c r="C599" s="2955" t="s">
        <v>3573</v>
      </c>
      <c r="D599" s="2955" t="s">
        <v>3617</v>
      </c>
      <c r="E599" s="2955">
        <v>123.34</v>
      </c>
      <c r="F599" s="3169">
        <v>2356460</v>
      </c>
      <c r="G599" s="3252">
        <f t="shared" si="9"/>
        <v>19105.399708123885</v>
      </c>
    </row>
    <row r="600" spans="1:7">
      <c r="A600" s="2955">
        <v>599</v>
      </c>
      <c r="B600" s="2955" t="s">
        <v>3572</v>
      </c>
      <c r="C600" s="2955" t="s">
        <v>3573</v>
      </c>
      <c r="D600" s="2955" t="s">
        <v>3618</v>
      </c>
      <c r="E600" s="2955">
        <v>98.04</v>
      </c>
      <c r="F600" s="3169">
        <v>2039761</v>
      </c>
      <c r="G600" s="3252">
        <f t="shared" si="9"/>
        <v>20805.395756833943</v>
      </c>
    </row>
    <row r="601" spans="1:7">
      <c r="A601" s="2955">
        <v>600</v>
      </c>
      <c r="B601" s="2955" t="s">
        <v>3572</v>
      </c>
      <c r="C601" s="2955" t="s">
        <v>3573</v>
      </c>
      <c r="D601" s="2955" t="s">
        <v>3619</v>
      </c>
      <c r="E601" s="2955">
        <v>125.12</v>
      </c>
      <c r="F601" s="3169">
        <v>2390468</v>
      </c>
      <c r="G601" s="3252">
        <f t="shared" si="9"/>
        <v>19105.402813299232</v>
      </c>
    </row>
    <row r="602" spans="1:7">
      <c r="A602" s="2955">
        <v>601</v>
      </c>
      <c r="B602" s="2955" t="s">
        <v>3572</v>
      </c>
      <c r="C602" s="2955" t="s">
        <v>3573</v>
      </c>
      <c r="D602" s="2955" t="s">
        <v>3620</v>
      </c>
      <c r="E602" s="2955">
        <v>123.34</v>
      </c>
      <c r="F602" s="3169">
        <v>2553804</v>
      </c>
      <c r="G602" s="3252">
        <f t="shared" si="9"/>
        <v>20705.399708123885</v>
      </c>
    </row>
    <row r="603" spans="1:7">
      <c r="A603" s="2955">
        <v>602</v>
      </c>
      <c r="B603" s="2955" t="s">
        <v>3572</v>
      </c>
      <c r="C603" s="2955" t="s">
        <v>3621</v>
      </c>
      <c r="D603" s="2955" t="s">
        <v>3622</v>
      </c>
      <c r="E603" s="2955">
        <v>131.91999999999999</v>
      </c>
      <c r="F603" s="3169">
        <v>3110146</v>
      </c>
      <c r="G603" s="3252">
        <f t="shared" si="9"/>
        <v>23576.000606428141</v>
      </c>
    </row>
    <row r="604" spans="1:7">
      <c r="A604" s="2955">
        <v>603</v>
      </c>
      <c r="B604" s="2955" t="s">
        <v>3572</v>
      </c>
      <c r="C604" s="2955" t="s">
        <v>3621</v>
      </c>
      <c r="D604" s="2955" t="s">
        <v>3623</v>
      </c>
      <c r="E604" s="2955">
        <v>233.88</v>
      </c>
      <c r="F604" s="3169">
        <v>3659153</v>
      </c>
      <c r="G604" s="3252">
        <f t="shared" si="9"/>
        <v>15645.429279972635</v>
      </c>
    </row>
    <row r="605" spans="1:7">
      <c r="A605" s="2955">
        <v>604</v>
      </c>
      <c r="B605" s="2955" t="s">
        <v>3572</v>
      </c>
      <c r="C605" s="2955" t="s">
        <v>3621</v>
      </c>
      <c r="D605" s="2955" t="s">
        <v>3624</v>
      </c>
      <c r="E605" s="2955">
        <v>131.91999999999999</v>
      </c>
      <c r="F605" s="3169">
        <v>3152360</v>
      </c>
      <c r="G605" s="3252">
        <f t="shared" si="9"/>
        <v>23895.997574287449</v>
      </c>
    </row>
    <row r="606" spans="1:7">
      <c r="A606" s="2955">
        <v>605</v>
      </c>
      <c r="B606" s="2955" t="s">
        <v>3572</v>
      </c>
      <c r="C606" s="2955" t="s">
        <v>3621</v>
      </c>
      <c r="D606" s="2955" t="s">
        <v>3625</v>
      </c>
      <c r="E606" s="2955">
        <v>131.96</v>
      </c>
      <c r="F606" s="3169">
        <v>3163873</v>
      </c>
      <c r="G606" s="3252">
        <f t="shared" si="9"/>
        <v>23976.000303122157</v>
      </c>
    </row>
    <row r="607" spans="1:7">
      <c r="A607" s="2955">
        <v>606</v>
      </c>
      <c r="B607" s="2955" t="s">
        <v>3572</v>
      </c>
      <c r="C607" s="2955" t="s">
        <v>3621</v>
      </c>
      <c r="D607" s="2955" t="s">
        <v>3626</v>
      </c>
      <c r="E607" s="2955">
        <v>131.96</v>
      </c>
      <c r="F607" s="3169">
        <v>3096441</v>
      </c>
      <c r="G607" s="3252">
        <f t="shared" si="9"/>
        <v>23464.996968778418</v>
      </c>
    </row>
    <row r="608" spans="1:7">
      <c r="A608" s="2955">
        <v>607</v>
      </c>
      <c r="B608" s="2955" t="s">
        <v>3572</v>
      </c>
      <c r="C608" s="2955" t="s">
        <v>3621</v>
      </c>
      <c r="D608" s="2955" t="s">
        <v>3627</v>
      </c>
      <c r="E608" s="2955">
        <v>134.91</v>
      </c>
      <c r="F608" s="3169">
        <v>3253490</v>
      </c>
      <c r="G608" s="3252">
        <f t="shared" si="9"/>
        <v>24116.003261433551</v>
      </c>
    </row>
    <row r="609" spans="1:7">
      <c r="A609" s="2955">
        <v>608</v>
      </c>
      <c r="B609" s="2955" t="s">
        <v>3016</v>
      </c>
      <c r="C609" s="2955" t="s">
        <v>3628</v>
      </c>
      <c r="D609" s="2955" t="s">
        <v>3629</v>
      </c>
      <c r="E609" s="2955">
        <v>134.91</v>
      </c>
      <c r="F609" s="3169">
        <v>3238515</v>
      </c>
      <c r="G609" s="3252">
        <f t="shared" si="9"/>
        <v>24005.003335557038</v>
      </c>
    </row>
    <row r="610" spans="1:7">
      <c r="A610" s="2955">
        <v>609</v>
      </c>
      <c r="B610" s="2955" t="s">
        <v>3016</v>
      </c>
      <c r="C610" s="2955" t="s">
        <v>3628</v>
      </c>
      <c r="D610" s="2955" t="s">
        <v>3630</v>
      </c>
      <c r="E610" s="2955">
        <v>213.45</v>
      </c>
      <c r="F610" s="3169">
        <v>3532060</v>
      </c>
      <c r="G610" s="3252">
        <f t="shared" si="9"/>
        <v>16547.481845865543</v>
      </c>
    </row>
    <row r="611" spans="1:7">
      <c r="A611" s="2955">
        <v>610</v>
      </c>
      <c r="B611" s="2955" t="s">
        <v>3016</v>
      </c>
      <c r="C611" s="2955" t="s">
        <v>3628</v>
      </c>
      <c r="D611" s="2955" t="s">
        <v>3631</v>
      </c>
      <c r="E611" s="2955">
        <v>134.91</v>
      </c>
      <c r="F611" s="3169">
        <v>3185900</v>
      </c>
      <c r="G611" s="3252">
        <f t="shared" si="9"/>
        <v>23615.002594322141</v>
      </c>
    </row>
    <row r="612" spans="1:7">
      <c r="A612" s="2955">
        <v>611</v>
      </c>
      <c r="B612" s="2955" t="s">
        <v>3016</v>
      </c>
      <c r="C612" s="2955" t="s">
        <v>3628</v>
      </c>
      <c r="D612" s="2955" t="s">
        <v>3632</v>
      </c>
      <c r="E612" s="2955">
        <v>131.96</v>
      </c>
      <c r="F612" s="3169">
        <v>3142759</v>
      </c>
      <c r="G612" s="3252">
        <f t="shared" si="9"/>
        <v>23815.997271900575</v>
      </c>
    </row>
    <row r="613" spans="1:7">
      <c r="A613" s="2955">
        <v>612</v>
      </c>
      <c r="B613" s="2955" t="s">
        <v>3016</v>
      </c>
      <c r="C613" s="2955" t="s">
        <v>3628</v>
      </c>
      <c r="D613" s="2955" t="s">
        <v>3633</v>
      </c>
      <c r="E613" s="2955">
        <v>134.91</v>
      </c>
      <c r="F613" s="3169">
        <v>3216382</v>
      </c>
      <c r="G613" s="3252">
        <f t="shared" si="9"/>
        <v>23840.945815729006</v>
      </c>
    </row>
    <row r="614" spans="1:7">
      <c r="A614" s="2955">
        <v>613</v>
      </c>
      <c r="B614" s="2955" t="s">
        <v>3016</v>
      </c>
      <c r="C614" s="2955" t="s">
        <v>3628</v>
      </c>
      <c r="D614" s="2955" t="s">
        <v>3634</v>
      </c>
      <c r="E614" s="2955">
        <v>131.96</v>
      </c>
      <c r="F614" s="3169">
        <v>3142759</v>
      </c>
      <c r="G614" s="3252">
        <f t="shared" si="9"/>
        <v>23815.997271900575</v>
      </c>
    </row>
    <row r="615" spans="1:7">
      <c r="A615" s="2955">
        <v>614</v>
      </c>
      <c r="B615" s="2955" t="s">
        <v>3016</v>
      </c>
      <c r="C615" s="2955" t="s">
        <v>3628</v>
      </c>
      <c r="D615" s="2955" t="s">
        <v>3635</v>
      </c>
      <c r="E615" s="2955">
        <v>131.96</v>
      </c>
      <c r="F615" s="3169">
        <v>3170339</v>
      </c>
      <c r="G615" s="3252">
        <f t="shared" si="9"/>
        <v>24025</v>
      </c>
    </row>
    <row r="616" spans="1:7">
      <c r="A616" s="2955">
        <v>615</v>
      </c>
      <c r="B616" s="2955" t="s">
        <v>3016</v>
      </c>
      <c r="C616" s="2955" t="s">
        <v>3628</v>
      </c>
      <c r="D616" s="2955" t="s">
        <v>3636</v>
      </c>
      <c r="E616" s="2955">
        <v>134.91</v>
      </c>
      <c r="F616" s="3169">
        <v>3145427</v>
      </c>
      <c r="G616" s="3252">
        <f t="shared" si="9"/>
        <v>23315.002594322141</v>
      </c>
    </row>
    <row r="617" spans="1:7">
      <c r="A617" s="2955">
        <v>616</v>
      </c>
      <c r="B617" s="2955" t="s">
        <v>3016</v>
      </c>
      <c r="C617" s="2955" t="s">
        <v>3628</v>
      </c>
      <c r="D617" s="2955" t="s">
        <v>3637</v>
      </c>
      <c r="E617" s="2955">
        <v>134.91</v>
      </c>
      <c r="F617" s="3169">
        <v>3216814</v>
      </c>
      <c r="G617" s="3252">
        <f t="shared" si="9"/>
        <v>23844.147950485509</v>
      </c>
    </row>
    <row r="618" spans="1:7">
      <c r="A618" s="2955">
        <v>617</v>
      </c>
      <c r="B618" s="2955" t="s">
        <v>3016</v>
      </c>
      <c r="C618" s="2955" t="s">
        <v>3628</v>
      </c>
      <c r="D618" s="2955" t="s">
        <v>3638</v>
      </c>
      <c r="E618" s="2955">
        <v>131.91999999999999</v>
      </c>
      <c r="F618" s="3169">
        <v>3089039</v>
      </c>
      <c r="G618" s="3252">
        <f t="shared" si="9"/>
        <v>23416.002122498485</v>
      </c>
    </row>
    <row r="619" spans="1:7">
      <c r="A619" s="2955">
        <v>618</v>
      </c>
      <c r="B619" s="2955" t="s">
        <v>3016</v>
      </c>
      <c r="C619" s="2955" t="s">
        <v>3628</v>
      </c>
      <c r="D619" s="2955" t="s">
        <v>3639</v>
      </c>
      <c r="E619" s="2955">
        <v>131.91999999999999</v>
      </c>
      <c r="F619" s="3169">
        <v>3152360</v>
      </c>
      <c r="G619" s="3252">
        <f t="shared" si="9"/>
        <v>23895.997574287449</v>
      </c>
    </row>
    <row r="620" spans="1:7">
      <c r="A620" s="2955">
        <v>619</v>
      </c>
      <c r="B620" s="2955" t="s">
        <v>3016</v>
      </c>
      <c r="C620" s="2955" t="s">
        <v>3628</v>
      </c>
      <c r="D620" s="2955" t="s">
        <v>3640</v>
      </c>
      <c r="E620" s="2955">
        <v>134.86000000000001</v>
      </c>
      <c r="F620" s="3169">
        <v>3263073</v>
      </c>
      <c r="G620" s="3252">
        <f t="shared" si="9"/>
        <v>24196.003262642738</v>
      </c>
    </row>
    <row r="621" spans="1:7">
      <c r="A621" s="2955">
        <v>620</v>
      </c>
      <c r="B621" s="2955" t="s">
        <v>3016</v>
      </c>
      <c r="C621" s="2955" t="s">
        <v>3628</v>
      </c>
      <c r="D621" s="2955" t="s">
        <v>3641</v>
      </c>
      <c r="E621" s="2955">
        <v>134.91</v>
      </c>
      <c r="F621" s="3169">
        <v>3281686</v>
      </c>
      <c r="G621" s="3252">
        <f t="shared" si="9"/>
        <v>24325.001853087244</v>
      </c>
    </row>
    <row r="622" spans="1:7">
      <c r="A622" s="2955">
        <v>621</v>
      </c>
      <c r="B622" s="2955" t="s">
        <v>3016</v>
      </c>
      <c r="C622" s="2955" t="s">
        <v>3628</v>
      </c>
      <c r="D622" s="2955" t="s">
        <v>3642</v>
      </c>
      <c r="E622" s="2955">
        <v>134.91</v>
      </c>
      <c r="F622" s="3169">
        <v>3242697</v>
      </c>
      <c r="G622" s="3252">
        <f t="shared" si="9"/>
        <v>24036.001778963753</v>
      </c>
    </row>
    <row r="623" spans="1:7">
      <c r="A623" s="2955">
        <v>622</v>
      </c>
      <c r="B623" s="2955" t="s">
        <v>3016</v>
      </c>
      <c r="C623" s="2955" t="s">
        <v>3628</v>
      </c>
      <c r="D623" s="2955" t="s">
        <v>3643</v>
      </c>
      <c r="E623" s="2955">
        <v>134.86000000000001</v>
      </c>
      <c r="F623" s="3169">
        <v>3263073</v>
      </c>
      <c r="G623" s="3252">
        <f t="shared" si="9"/>
        <v>24196.003262642738</v>
      </c>
    </row>
    <row r="624" spans="1:7">
      <c r="A624" s="2955">
        <v>623</v>
      </c>
      <c r="B624" s="2955" t="s">
        <v>3016</v>
      </c>
      <c r="C624" s="2955" t="s">
        <v>3628</v>
      </c>
      <c r="D624" s="2955" t="s">
        <v>3644</v>
      </c>
      <c r="E624" s="2955">
        <v>131.91999999999999</v>
      </c>
      <c r="F624" s="3169">
        <v>3120700</v>
      </c>
      <c r="G624" s="3252">
        <f t="shared" si="9"/>
        <v>23656.003638568833</v>
      </c>
    </row>
    <row r="625" spans="1:7">
      <c r="A625" s="2955">
        <v>624</v>
      </c>
      <c r="B625" s="2955" t="s">
        <v>3016</v>
      </c>
      <c r="C625" s="2955" t="s">
        <v>3628</v>
      </c>
      <c r="D625" s="2955" t="s">
        <v>3645</v>
      </c>
      <c r="E625" s="2955">
        <v>134.91</v>
      </c>
      <c r="F625" s="3169">
        <v>3318246</v>
      </c>
      <c r="G625" s="3252">
        <f t="shared" si="9"/>
        <v>24595.997331554368</v>
      </c>
    </row>
    <row r="626" spans="1:7">
      <c r="A626" s="2955">
        <v>625</v>
      </c>
      <c r="B626" s="2955" t="s">
        <v>3016</v>
      </c>
      <c r="C626" s="2955" t="s">
        <v>3628</v>
      </c>
      <c r="D626" s="2955" t="s">
        <v>3646</v>
      </c>
      <c r="E626" s="2955">
        <v>131.96</v>
      </c>
      <c r="F626" s="3169">
        <v>3132203</v>
      </c>
      <c r="G626" s="3252">
        <f t="shared" si="9"/>
        <v>23736.003334343739</v>
      </c>
    </row>
    <row r="627" spans="1:7">
      <c r="A627" s="2955">
        <v>626</v>
      </c>
      <c r="B627" s="2955" t="s">
        <v>3016</v>
      </c>
      <c r="C627" s="2955" t="s">
        <v>3628</v>
      </c>
      <c r="D627" s="2955" t="s">
        <v>3647</v>
      </c>
      <c r="E627" s="2955">
        <v>131.96</v>
      </c>
      <c r="F627" s="3169">
        <v>3163873</v>
      </c>
      <c r="G627" s="3252">
        <f t="shared" si="9"/>
        <v>23976.000303122157</v>
      </c>
    </row>
    <row r="628" spans="1:7">
      <c r="A628" s="2955">
        <v>627</v>
      </c>
      <c r="B628" s="2955" t="s">
        <v>3016</v>
      </c>
      <c r="C628" s="2955" t="s">
        <v>3628</v>
      </c>
      <c r="D628" s="2955" t="s">
        <v>3648</v>
      </c>
      <c r="E628" s="2955">
        <v>131.96</v>
      </c>
      <c r="F628" s="3169">
        <v>3096441</v>
      </c>
      <c r="G628" s="3252">
        <f t="shared" si="9"/>
        <v>23464.996968778418</v>
      </c>
    </row>
    <row r="629" spans="1:7">
      <c r="A629" s="2955">
        <v>628</v>
      </c>
      <c r="B629" s="2955" t="s">
        <v>3053</v>
      </c>
      <c r="C629" s="2955" t="s">
        <v>3649</v>
      </c>
      <c r="D629" s="2955" t="s">
        <v>3650</v>
      </c>
      <c r="E629" s="2955">
        <v>131.91999999999999</v>
      </c>
      <c r="F629" s="3169">
        <v>3131253</v>
      </c>
      <c r="G629" s="3252">
        <f t="shared" si="9"/>
        <v>23735.999090357796</v>
      </c>
    </row>
    <row r="630" spans="1:7">
      <c r="A630" s="2955">
        <v>629</v>
      </c>
      <c r="B630" s="2955" t="s">
        <v>3053</v>
      </c>
      <c r="C630" s="2955" t="s">
        <v>3649</v>
      </c>
      <c r="D630" s="2955" t="s">
        <v>3651</v>
      </c>
      <c r="E630" s="2955">
        <v>134.91</v>
      </c>
      <c r="F630" s="3169">
        <v>3307454</v>
      </c>
      <c r="G630" s="3252">
        <f t="shared" si="9"/>
        <v>24516.003261433551</v>
      </c>
    </row>
    <row r="631" spans="1:7">
      <c r="A631" s="2955">
        <v>630</v>
      </c>
      <c r="B631" s="2955" t="s">
        <v>3053</v>
      </c>
      <c r="C631" s="2955" t="s">
        <v>3649</v>
      </c>
      <c r="D631" s="2955" t="s">
        <v>3652</v>
      </c>
      <c r="E631" s="2955">
        <v>131.96</v>
      </c>
      <c r="F631" s="3169">
        <v>3153316</v>
      </c>
      <c r="G631" s="3252">
        <f t="shared" si="9"/>
        <v>23895.998787511366</v>
      </c>
    </row>
    <row r="632" spans="1:7">
      <c r="A632" s="2955">
        <v>631</v>
      </c>
      <c r="B632" s="2955" t="s">
        <v>3053</v>
      </c>
      <c r="C632" s="2955" t="s">
        <v>3649</v>
      </c>
      <c r="D632" s="2955" t="s">
        <v>3653</v>
      </c>
      <c r="E632" s="2955">
        <v>134.91</v>
      </c>
      <c r="F632" s="3169">
        <v>3260100</v>
      </c>
      <c r="G632" s="3252">
        <f t="shared" si="9"/>
        <v>24164.998888147653</v>
      </c>
    </row>
    <row r="633" spans="1:7">
      <c r="A633" s="2955">
        <v>632</v>
      </c>
      <c r="B633" s="2955" t="s">
        <v>3053</v>
      </c>
      <c r="C633" s="2955" t="s">
        <v>3649</v>
      </c>
      <c r="D633" s="2955" t="s">
        <v>3654</v>
      </c>
      <c r="E633" s="2955">
        <v>134.86000000000001</v>
      </c>
      <c r="F633" s="3169">
        <v>3241495</v>
      </c>
      <c r="G633" s="3252">
        <f t="shared" si="9"/>
        <v>24036.000296603885</v>
      </c>
    </row>
    <row r="634" spans="1:7">
      <c r="A634" s="2955">
        <v>633</v>
      </c>
      <c r="B634" s="2955" t="s">
        <v>3053</v>
      </c>
      <c r="C634" s="2955" t="s">
        <v>3649</v>
      </c>
      <c r="D634" s="2955" t="s">
        <v>3655</v>
      </c>
      <c r="E634" s="2955">
        <v>134.91</v>
      </c>
      <c r="F634" s="3169">
        <v>3296661</v>
      </c>
      <c r="G634" s="3252">
        <f t="shared" si="9"/>
        <v>24436.001778963753</v>
      </c>
    </row>
    <row r="635" spans="1:7">
      <c r="A635" s="2955">
        <v>634</v>
      </c>
      <c r="B635" s="2955" t="s">
        <v>3053</v>
      </c>
      <c r="C635" s="2955" t="s">
        <v>3649</v>
      </c>
      <c r="D635" s="2955" t="s">
        <v>3656</v>
      </c>
      <c r="E635" s="2955">
        <v>213.45</v>
      </c>
      <c r="F635" s="3169">
        <v>3532060</v>
      </c>
      <c r="G635" s="3252">
        <f t="shared" si="9"/>
        <v>16547.481845865543</v>
      </c>
    </row>
    <row r="636" spans="1:7">
      <c r="A636" s="2955">
        <v>635</v>
      </c>
      <c r="B636" s="2955" t="s">
        <v>3053</v>
      </c>
      <c r="C636" s="2955" t="s">
        <v>3649</v>
      </c>
      <c r="D636" s="2955" t="s">
        <v>3657</v>
      </c>
      <c r="E636" s="2955">
        <v>131.91999999999999</v>
      </c>
      <c r="F636" s="3169">
        <v>3099592</v>
      </c>
      <c r="G636" s="3252">
        <f t="shared" si="9"/>
        <v>23495.997574287449</v>
      </c>
    </row>
    <row r="637" spans="1:7">
      <c r="A637" s="2955">
        <v>636</v>
      </c>
      <c r="B637" s="2955" t="s">
        <v>3053</v>
      </c>
      <c r="C637" s="2955" t="s">
        <v>3649</v>
      </c>
      <c r="D637" s="2955" t="s">
        <v>3658</v>
      </c>
      <c r="E637" s="2955">
        <v>134.91</v>
      </c>
      <c r="F637" s="3169">
        <v>3318246</v>
      </c>
      <c r="G637" s="3252">
        <f t="shared" si="9"/>
        <v>24595.997331554368</v>
      </c>
    </row>
    <row r="638" spans="1:7">
      <c r="A638" s="2955">
        <v>637</v>
      </c>
      <c r="B638" s="2955" t="s">
        <v>3053</v>
      </c>
      <c r="C638" s="2955" t="s">
        <v>3649</v>
      </c>
      <c r="D638" s="2955" t="s">
        <v>3659</v>
      </c>
      <c r="E638" s="2955">
        <v>134.86000000000001</v>
      </c>
      <c r="F638" s="3169">
        <v>3187551</v>
      </c>
      <c r="G638" s="3252">
        <f t="shared" si="9"/>
        <v>23636.000296603885</v>
      </c>
    </row>
    <row r="639" spans="1:7">
      <c r="A639" s="2955">
        <v>638</v>
      </c>
      <c r="B639" s="2955" t="s">
        <v>3053</v>
      </c>
      <c r="C639" s="2955" t="s">
        <v>3649</v>
      </c>
      <c r="D639" s="2955" t="s">
        <v>3660</v>
      </c>
      <c r="E639" s="2955">
        <v>134.91</v>
      </c>
      <c r="F639" s="3169">
        <v>3249307</v>
      </c>
      <c r="G639" s="3252">
        <f t="shared" si="9"/>
        <v>24084.997405677859</v>
      </c>
    </row>
    <row r="640" spans="1:7">
      <c r="A640" s="2955">
        <v>639</v>
      </c>
      <c r="B640" s="2955" t="s">
        <v>3053</v>
      </c>
      <c r="C640" s="2955" t="s">
        <v>3649</v>
      </c>
      <c r="D640" s="2955" t="s">
        <v>3661</v>
      </c>
      <c r="E640" s="2955">
        <v>131.96</v>
      </c>
      <c r="F640" s="3169">
        <v>3170339</v>
      </c>
      <c r="G640" s="3252">
        <f t="shared" si="9"/>
        <v>24025</v>
      </c>
    </row>
    <row r="641" spans="1:7">
      <c r="A641" s="2955">
        <v>640</v>
      </c>
      <c r="B641" s="2955" t="s">
        <v>3053</v>
      </c>
      <c r="C641" s="2955" t="s">
        <v>3649</v>
      </c>
      <c r="D641" s="2955" t="s">
        <v>3662</v>
      </c>
      <c r="E641" s="2955">
        <v>134.91</v>
      </c>
      <c r="F641" s="3169">
        <v>3318246</v>
      </c>
      <c r="G641" s="3252">
        <f t="shared" si="9"/>
        <v>24595.997331554368</v>
      </c>
    </row>
    <row r="642" spans="1:7">
      <c r="A642" s="2955">
        <v>641</v>
      </c>
      <c r="B642" s="2955" t="s">
        <v>3053</v>
      </c>
      <c r="C642" s="2955" t="s">
        <v>3649</v>
      </c>
      <c r="D642" s="2955" t="s">
        <v>3663</v>
      </c>
      <c r="E642" s="2955">
        <v>131.91999999999999</v>
      </c>
      <c r="F642" s="3169">
        <v>3099592</v>
      </c>
      <c r="G642" s="3252">
        <f t="shared" si="9"/>
        <v>23495.997574287449</v>
      </c>
    </row>
    <row r="643" spans="1:7">
      <c r="A643" s="2955">
        <v>642</v>
      </c>
      <c r="B643" s="2955" t="s">
        <v>3053</v>
      </c>
      <c r="C643" s="2955" t="s">
        <v>3649</v>
      </c>
      <c r="D643" s="2955" t="s">
        <v>3664</v>
      </c>
      <c r="E643" s="2955">
        <v>131.91999999999999</v>
      </c>
      <c r="F643" s="3169">
        <v>3078485</v>
      </c>
      <c r="G643" s="3252">
        <f t="shared" ref="G643:G706" si="10">F643/E643</f>
        <v>23335.999090357796</v>
      </c>
    </row>
    <row r="644" spans="1:7">
      <c r="A644" s="2955">
        <v>643</v>
      </c>
      <c r="B644" s="2955" t="s">
        <v>3053</v>
      </c>
      <c r="C644" s="2955" t="s">
        <v>3649</v>
      </c>
      <c r="D644" s="2955" t="s">
        <v>3665</v>
      </c>
      <c r="E644" s="2955">
        <v>131.91999999999999</v>
      </c>
      <c r="F644" s="3169">
        <v>3131253</v>
      </c>
      <c r="G644" s="3252">
        <f t="shared" si="10"/>
        <v>23735.999090357796</v>
      </c>
    </row>
    <row r="645" spans="1:7">
      <c r="A645" s="2955">
        <v>644</v>
      </c>
      <c r="B645" s="2955" t="s">
        <v>3053</v>
      </c>
      <c r="C645" s="2955" t="s">
        <v>3649</v>
      </c>
      <c r="D645" s="2955" t="s">
        <v>3666</v>
      </c>
      <c r="E645" s="2955">
        <v>134.91</v>
      </c>
      <c r="F645" s="3169">
        <v>3181987</v>
      </c>
      <c r="G645" s="3252">
        <f t="shared" si="10"/>
        <v>23585.998072789269</v>
      </c>
    </row>
    <row r="646" spans="1:7">
      <c r="A646" s="2955">
        <v>645</v>
      </c>
      <c r="B646" s="2955" t="s">
        <v>3053</v>
      </c>
      <c r="C646" s="2955" t="s">
        <v>3649</v>
      </c>
      <c r="D646" s="2955" t="s">
        <v>3667</v>
      </c>
      <c r="E646" s="2955">
        <v>233.97</v>
      </c>
      <c r="F646" s="3169">
        <v>3677728</v>
      </c>
      <c r="G646" s="3252">
        <f t="shared" si="10"/>
        <v>15718.801555755012</v>
      </c>
    </row>
    <row r="647" spans="1:7">
      <c r="A647" s="2955">
        <v>646</v>
      </c>
      <c r="B647" s="2955" t="s">
        <v>3053</v>
      </c>
      <c r="C647" s="2955" t="s">
        <v>3649</v>
      </c>
      <c r="D647" s="2955" t="s">
        <v>3668</v>
      </c>
      <c r="E647" s="2955">
        <v>131.91999999999999</v>
      </c>
      <c r="F647" s="3169">
        <v>3038909</v>
      </c>
      <c r="G647" s="3252">
        <f t="shared" si="10"/>
        <v>23035.999090357796</v>
      </c>
    </row>
    <row r="648" spans="1:7">
      <c r="A648" s="2955">
        <v>647</v>
      </c>
      <c r="B648" s="2955" t="s">
        <v>3053</v>
      </c>
      <c r="C648" s="2955" t="s">
        <v>3649</v>
      </c>
      <c r="D648" s="2955" t="s">
        <v>3669</v>
      </c>
      <c r="E648" s="2955">
        <v>131.91999999999999</v>
      </c>
      <c r="F648" s="3169">
        <v>3058697</v>
      </c>
      <c r="G648" s="3252">
        <f t="shared" si="10"/>
        <v>23185.999090357796</v>
      </c>
    </row>
    <row r="649" spans="1:7">
      <c r="A649" s="2955">
        <v>648</v>
      </c>
      <c r="B649" s="2955" t="s">
        <v>3053</v>
      </c>
      <c r="C649" s="2955" t="s">
        <v>3649</v>
      </c>
      <c r="D649" s="2955" t="s">
        <v>3670</v>
      </c>
      <c r="E649" s="2955">
        <v>233.88</v>
      </c>
      <c r="F649" s="3169">
        <v>3659153</v>
      </c>
      <c r="G649" s="3252">
        <f t="shared" si="10"/>
        <v>15645.429279972635</v>
      </c>
    </row>
    <row r="650" spans="1:7">
      <c r="A650" s="2955">
        <v>649</v>
      </c>
      <c r="B650" s="2955" t="s">
        <v>3053</v>
      </c>
      <c r="C650" s="2955" t="s">
        <v>3649</v>
      </c>
      <c r="D650" s="2955" t="s">
        <v>3671</v>
      </c>
      <c r="E650" s="2955">
        <v>134.91</v>
      </c>
      <c r="F650" s="3169">
        <v>3307454</v>
      </c>
      <c r="G650" s="3252">
        <f t="shared" si="10"/>
        <v>24516.003261433551</v>
      </c>
    </row>
    <row r="651" spans="1:7">
      <c r="A651" s="2955">
        <v>650</v>
      </c>
      <c r="B651" s="2955" t="s">
        <v>3053</v>
      </c>
      <c r="C651" s="2955" t="s">
        <v>3649</v>
      </c>
      <c r="D651" s="2955" t="s">
        <v>3672</v>
      </c>
      <c r="E651" s="2955">
        <v>233.97</v>
      </c>
      <c r="F651" s="3169">
        <v>3677728</v>
      </c>
      <c r="G651" s="3252">
        <f t="shared" si="10"/>
        <v>15718.801555755012</v>
      </c>
    </row>
    <row r="652" spans="1:7">
      <c r="A652" s="2955">
        <v>651</v>
      </c>
      <c r="B652" s="2955" t="s">
        <v>3053</v>
      </c>
      <c r="C652" s="2955" t="s">
        <v>3649</v>
      </c>
      <c r="D652" s="2955" t="s">
        <v>3673</v>
      </c>
      <c r="E652" s="2955">
        <v>134.91</v>
      </c>
      <c r="F652" s="3169">
        <v>3296661</v>
      </c>
      <c r="G652" s="3252">
        <f t="shared" si="10"/>
        <v>24436.001778963753</v>
      </c>
    </row>
    <row r="653" spans="1:7">
      <c r="A653" s="2955">
        <v>652</v>
      </c>
      <c r="B653" s="2955" t="s">
        <v>3053</v>
      </c>
      <c r="C653" s="2955" t="s">
        <v>3649</v>
      </c>
      <c r="D653" s="2955" t="s">
        <v>3674</v>
      </c>
      <c r="E653" s="2955">
        <v>131.96</v>
      </c>
      <c r="F653" s="3169">
        <v>3117555</v>
      </c>
      <c r="G653" s="3252">
        <f t="shared" si="10"/>
        <v>23625</v>
      </c>
    </row>
    <row r="654" spans="1:7">
      <c r="A654" s="2955">
        <v>653</v>
      </c>
      <c r="B654" s="2955" t="s">
        <v>3053</v>
      </c>
      <c r="C654" s="2955" t="s">
        <v>3649</v>
      </c>
      <c r="D654" s="2955" t="s">
        <v>3675</v>
      </c>
      <c r="E654" s="2955">
        <v>134.86000000000001</v>
      </c>
      <c r="F654" s="3169">
        <v>3219917</v>
      </c>
      <c r="G654" s="3252">
        <f t="shared" si="10"/>
        <v>23875.997330565027</v>
      </c>
    </row>
    <row r="655" spans="1:7">
      <c r="A655" s="2955">
        <v>654</v>
      </c>
      <c r="B655" s="2955" t="s">
        <v>3053</v>
      </c>
      <c r="C655" s="2955" t="s">
        <v>3649</v>
      </c>
      <c r="D655" s="2955" t="s">
        <v>3676</v>
      </c>
      <c r="E655" s="2955">
        <v>213.37</v>
      </c>
      <c r="F655" s="3169">
        <v>3478160</v>
      </c>
      <c r="G655" s="3252">
        <f t="shared" si="10"/>
        <v>16301.073253034634</v>
      </c>
    </row>
    <row r="656" spans="1:7">
      <c r="A656" s="2955">
        <v>655</v>
      </c>
      <c r="B656" s="2955" t="s">
        <v>3053</v>
      </c>
      <c r="C656" s="2955" t="s">
        <v>3649</v>
      </c>
      <c r="D656" s="2955" t="s">
        <v>3677</v>
      </c>
      <c r="E656" s="2955">
        <v>131.96</v>
      </c>
      <c r="F656" s="3169">
        <v>3170339</v>
      </c>
      <c r="G656" s="3252">
        <f t="shared" si="10"/>
        <v>24025</v>
      </c>
    </row>
    <row r="657" spans="1:7">
      <c r="A657" s="2955">
        <v>656</v>
      </c>
      <c r="B657" s="2955" t="s">
        <v>3053</v>
      </c>
      <c r="C657" s="2955" t="s">
        <v>3649</v>
      </c>
      <c r="D657" s="2955" t="s">
        <v>3678</v>
      </c>
      <c r="E657" s="2955">
        <v>131.91999999999999</v>
      </c>
      <c r="F657" s="3169">
        <v>3141807</v>
      </c>
      <c r="G657" s="3252">
        <f t="shared" si="10"/>
        <v>23816.002122498485</v>
      </c>
    </row>
    <row r="658" spans="1:7">
      <c r="A658" s="2955">
        <v>657</v>
      </c>
      <c r="B658" s="2955" t="s">
        <v>3053</v>
      </c>
      <c r="C658" s="2955" t="s">
        <v>3649</v>
      </c>
      <c r="D658" s="2955" t="s">
        <v>3679</v>
      </c>
      <c r="E658" s="2955">
        <v>134.91</v>
      </c>
      <c r="F658" s="3169">
        <v>3202224</v>
      </c>
      <c r="G658" s="3252">
        <f t="shared" si="10"/>
        <v>23736.001778963753</v>
      </c>
    </row>
    <row r="659" spans="1:7">
      <c r="A659" s="2955">
        <v>658</v>
      </c>
      <c r="B659" s="2955" t="s">
        <v>3053</v>
      </c>
      <c r="C659" s="2955" t="s">
        <v>3649</v>
      </c>
      <c r="D659" s="2955" t="s">
        <v>3680</v>
      </c>
      <c r="E659" s="2955">
        <v>134.86000000000001</v>
      </c>
      <c r="F659" s="3169">
        <v>3167322</v>
      </c>
      <c r="G659" s="3252">
        <f t="shared" si="10"/>
        <v>23486.000296603885</v>
      </c>
    </row>
    <row r="660" spans="1:7">
      <c r="A660" s="2955">
        <v>659</v>
      </c>
      <c r="B660" s="2955" t="s">
        <v>3053</v>
      </c>
      <c r="C660" s="2955" t="s">
        <v>3649</v>
      </c>
      <c r="D660" s="2955" t="s">
        <v>3681</v>
      </c>
      <c r="E660" s="2955">
        <v>131.96</v>
      </c>
      <c r="F660" s="3169">
        <v>3106998</v>
      </c>
      <c r="G660" s="3252">
        <f t="shared" si="10"/>
        <v>23544.998484389209</v>
      </c>
    </row>
    <row r="661" spans="1:7">
      <c r="A661" s="2955">
        <v>660</v>
      </c>
      <c r="B661" s="2955" t="s">
        <v>3053</v>
      </c>
      <c r="C661" s="2955" t="s">
        <v>3649</v>
      </c>
      <c r="D661" s="2955" t="s">
        <v>3682</v>
      </c>
      <c r="E661" s="2955">
        <v>131.91999999999999</v>
      </c>
      <c r="F661" s="3169">
        <v>3120700</v>
      </c>
      <c r="G661" s="3252">
        <f t="shared" si="10"/>
        <v>23656.003638568833</v>
      </c>
    </row>
    <row r="662" spans="1:7">
      <c r="A662" s="2955">
        <v>661</v>
      </c>
      <c r="B662" s="2955" t="s">
        <v>3053</v>
      </c>
      <c r="C662" s="2955" t="s">
        <v>3649</v>
      </c>
      <c r="D662" s="2955" t="s">
        <v>3683</v>
      </c>
      <c r="E662" s="2955">
        <v>131.96</v>
      </c>
      <c r="F662" s="3169">
        <v>3092615</v>
      </c>
      <c r="G662" s="3252">
        <f t="shared" si="10"/>
        <v>23436.003334343739</v>
      </c>
    </row>
    <row r="663" spans="1:7">
      <c r="A663" s="2955">
        <v>662</v>
      </c>
      <c r="B663" s="2955" t="s">
        <v>3053</v>
      </c>
      <c r="C663" s="2955" t="s">
        <v>3649</v>
      </c>
      <c r="D663" s="2955" t="s">
        <v>3684</v>
      </c>
      <c r="E663" s="2955">
        <v>131.96</v>
      </c>
      <c r="F663" s="3169">
        <v>3204781</v>
      </c>
      <c r="G663" s="3252">
        <f t="shared" si="10"/>
        <v>24286.003334343739</v>
      </c>
    </row>
    <row r="664" spans="1:7">
      <c r="A664" s="2955">
        <v>663</v>
      </c>
      <c r="B664" s="2955" t="s">
        <v>3053</v>
      </c>
      <c r="C664" s="2955" t="s">
        <v>3649</v>
      </c>
      <c r="D664" s="2955" t="s">
        <v>3685</v>
      </c>
      <c r="E664" s="2955">
        <v>233.97</v>
      </c>
      <c r="F664" s="3169">
        <v>3714486</v>
      </c>
      <c r="G664" s="3252">
        <f t="shared" si="10"/>
        <v>15875.907167585588</v>
      </c>
    </row>
    <row r="665" spans="1:7">
      <c r="A665" s="2955">
        <v>664</v>
      </c>
      <c r="B665" s="2955" t="s">
        <v>3053</v>
      </c>
      <c r="C665" s="2955" t="s">
        <v>3649</v>
      </c>
      <c r="D665" s="2955" t="s">
        <v>3686</v>
      </c>
      <c r="E665" s="2955">
        <v>131.91999999999999</v>
      </c>
      <c r="F665" s="3169">
        <v>3152360</v>
      </c>
      <c r="G665" s="3252">
        <f t="shared" si="10"/>
        <v>23895.997574287449</v>
      </c>
    </row>
    <row r="666" spans="1:7">
      <c r="A666" s="2955">
        <v>665</v>
      </c>
      <c r="B666" s="2955" t="s">
        <v>3053</v>
      </c>
      <c r="C666" s="2955" t="s">
        <v>3649</v>
      </c>
      <c r="D666" s="2955" t="s">
        <v>3687</v>
      </c>
      <c r="E666" s="2955">
        <v>131.96</v>
      </c>
      <c r="F666" s="3169">
        <v>3092615</v>
      </c>
      <c r="G666" s="3252">
        <f t="shared" si="10"/>
        <v>23436.003334343739</v>
      </c>
    </row>
    <row r="667" spans="1:7">
      <c r="A667" s="2955">
        <v>666</v>
      </c>
      <c r="B667" s="2955" t="s">
        <v>3053</v>
      </c>
      <c r="C667" s="2955" t="s">
        <v>3649</v>
      </c>
      <c r="D667" s="2955" t="s">
        <v>3688</v>
      </c>
      <c r="E667" s="2955">
        <v>134.86000000000001</v>
      </c>
      <c r="F667" s="3169">
        <v>3198340</v>
      </c>
      <c r="G667" s="3252">
        <f t="shared" si="10"/>
        <v>23716.001779623311</v>
      </c>
    </row>
    <row r="668" spans="1:7">
      <c r="A668" s="2955">
        <v>667</v>
      </c>
      <c r="B668" s="2955" t="s">
        <v>3053</v>
      </c>
      <c r="C668" s="2955" t="s">
        <v>3649</v>
      </c>
      <c r="D668" s="2955" t="s">
        <v>3689</v>
      </c>
      <c r="E668" s="2955">
        <v>131.96</v>
      </c>
      <c r="F668" s="3169">
        <v>3106998</v>
      </c>
      <c r="G668" s="3252">
        <f t="shared" si="10"/>
        <v>23544.998484389209</v>
      </c>
    </row>
    <row r="669" spans="1:7">
      <c r="A669" s="2955">
        <v>668</v>
      </c>
      <c r="B669" s="2955" t="s">
        <v>3053</v>
      </c>
      <c r="C669" s="2955" t="s">
        <v>3649</v>
      </c>
      <c r="D669" s="2955" t="s">
        <v>3690</v>
      </c>
      <c r="E669" s="2955">
        <v>131.91999999999999</v>
      </c>
      <c r="F669" s="3169">
        <v>3038909</v>
      </c>
      <c r="G669" s="3252">
        <f t="shared" si="10"/>
        <v>23035.999090357796</v>
      </c>
    </row>
    <row r="670" spans="1:7">
      <c r="A670" s="2955">
        <v>669</v>
      </c>
      <c r="B670" s="2955" t="s">
        <v>3053</v>
      </c>
      <c r="C670" s="2955" t="s">
        <v>3649</v>
      </c>
      <c r="D670" s="2955" t="s">
        <v>3691</v>
      </c>
      <c r="E670" s="2955">
        <v>131.96</v>
      </c>
      <c r="F670" s="3169">
        <v>3184987</v>
      </c>
      <c r="G670" s="3252">
        <f t="shared" si="10"/>
        <v>24136.003334343739</v>
      </c>
    </row>
    <row r="671" spans="1:7">
      <c r="A671" s="2955">
        <v>670</v>
      </c>
      <c r="B671" s="2955" t="s">
        <v>3053</v>
      </c>
      <c r="C671" s="2955" t="s">
        <v>3649</v>
      </c>
      <c r="D671" s="2955" t="s">
        <v>3692</v>
      </c>
      <c r="E671" s="2955">
        <v>131.96</v>
      </c>
      <c r="F671" s="3169">
        <v>3206100</v>
      </c>
      <c r="G671" s="3252">
        <f t="shared" si="10"/>
        <v>24295.998787511366</v>
      </c>
    </row>
    <row r="672" spans="1:7">
      <c r="A672" s="2955">
        <v>671</v>
      </c>
      <c r="B672" s="2955" t="s">
        <v>3053</v>
      </c>
      <c r="C672" s="2955" t="s">
        <v>3649</v>
      </c>
      <c r="D672" s="2955" t="s">
        <v>3693</v>
      </c>
      <c r="E672" s="2955">
        <v>131.96</v>
      </c>
      <c r="F672" s="3169">
        <v>3170339</v>
      </c>
      <c r="G672" s="3252">
        <f t="shared" si="10"/>
        <v>24025</v>
      </c>
    </row>
    <row r="673" spans="1:7">
      <c r="A673" s="2955">
        <v>672</v>
      </c>
      <c r="B673" s="2955" t="s">
        <v>3053</v>
      </c>
      <c r="C673" s="2955" t="s">
        <v>3649</v>
      </c>
      <c r="D673" s="2955" t="s">
        <v>3694</v>
      </c>
      <c r="E673" s="2955">
        <v>131.91999999999999</v>
      </c>
      <c r="F673" s="3169">
        <v>3058697</v>
      </c>
      <c r="G673" s="3252">
        <f t="shared" si="10"/>
        <v>23185.999090357796</v>
      </c>
    </row>
    <row r="674" spans="1:7">
      <c r="A674" s="2955">
        <v>673</v>
      </c>
      <c r="B674" s="2955" t="s">
        <v>3053</v>
      </c>
      <c r="C674" s="2955" t="s">
        <v>3649</v>
      </c>
      <c r="D674" s="2955" t="s">
        <v>3695</v>
      </c>
      <c r="E674" s="2955">
        <v>134.86000000000001</v>
      </c>
      <c r="F674" s="3169">
        <v>3241495</v>
      </c>
      <c r="G674" s="3252">
        <f t="shared" si="10"/>
        <v>24036.000296603885</v>
      </c>
    </row>
    <row r="675" spans="1:7">
      <c r="A675" s="2955">
        <v>674</v>
      </c>
      <c r="B675" s="2955" t="s">
        <v>3053</v>
      </c>
      <c r="C675" s="2955" t="s">
        <v>3649</v>
      </c>
      <c r="D675" s="2955" t="s">
        <v>3696</v>
      </c>
      <c r="E675" s="2955">
        <v>131.96</v>
      </c>
      <c r="F675" s="3169">
        <v>3149225</v>
      </c>
      <c r="G675" s="3252">
        <f t="shared" si="10"/>
        <v>23864.996968778418</v>
      </c>
    </row>
    <row r="676" spans="1:7">
      <c r="A676" s="2955">
        <v>675</v>
      </c>
      <c r="B676" s="2955" t="s">
        <v>3053</v>
      </c>
      <c r="C676" s="2955" t="s">
        <v>3649</v>
      </c>
      <c r="D676" s="2955" t="s">
        <v>3697</v>
      </c>
      <c r="E676" s="2955">
        <v>134.91</v>
      </c>
      <c r="F676" s="3169">
        <v>3248870</v>
      </c>
      <c r="G676" s="3252">
        <f t="shared" si="10"/>
        <v>24081.758209176489</v>
      </c>
    </row>
    <row r="677" spans="1:7">
      <c r="A677" s="2955">
        <v>676</v>
      </c>
      <c r="B677" s="2955" t="s">
        <v>3053</v>
      </c>
      <c r="C677" s="2955" t="s">
        <v>3649</v>
      </c>
      <c r="D677" s="2955" t="s">
        <v>3698</v>
      </c>
      <c r="E677" s="2955">
        <v>131.91999999999999</v>
      </c>
      <c r="F677" s="3169">
        <v>3110146</v>
      </c>
      <c r="G677" s="3252">
        <f t="shared" si="10"/>
        <v>23576.000606428141</v>
      </c>
    </row>
    <row r="678" spans="1:7">
      <c r="A678" s="2955">
        <v>677</v>
      </c>
      <c r="B678" s="2955" t="s">
        <v>3053</v>
      </c>
      <c r="C678" s="2955" t="s">
        <v>3649</v>
      </c>
      <c r="D678" s="2955" t="s">
        <v>3699</v>
      </c>
      <c r="E678" s="2955">
        <v>131.91999999999999</v>
      </c>
      <c r="F678" s="3169">
        <v>3152360</v>
      </c>
      <c r="G678" s="3252">
        <f t="shared" si="10"/>
        <v>23895.997574287449</v>
      </c>
    </row>
    <row r="679" spans="1:7">
      <c r="A679" s="2955">
        <v>678</v>
      </c>
      <c r="B679" s="2955" t="s">
        <v>3053</v>
      </c>
      <c r="C679" s="2955" t="s">
        <v>3649</v>
      </c>
      <c r="D679" s="2955" t="s">
        <v>3700</v>
      </c>
      <c r="E679" s="2955">
        <v>134.91</v>
      </c>
      <c r="F679" s="3169">
        <v>3202224</v>
      </c>
      <c r="G679" s="3252">
        <f t="shared" si="10"/>
        <v>23736.001778963753</v>
      </c>
    </row>
    <row r="680" spans="1:7">
      <c r="A680" s="2955">
        <v>679</v>
      </c>
      <c r="B680" s="2955" t="s">
        <v>3053</v>
      </c>
      <c r="C680" s="2955" t="s">
        <v>3649</v>
      </c>
      <c r="D680" s="2955" t="s">
        <v>3701</v>
      </c>
      <c r="E680" s="2955">
        <v>134.91</v>
      </c>
      <c r="F680" s="3169">
        <v>3283729</v>
      </c>
      <c r="G680" s="3252">
        <f t="shared" si="10"/>
        <v>24340.145282039881</v>
      </c>
    </row>
    <row r="681" spans="1:7">
      <c r="A681" s="2955">
        <v>680</v>
      </c>
      <c r="B681" s="2955" t="s">
        <v>3053</v>
      </c>
      <c r="C681" s="2955" t="s">
        <v>3649</v>
      </c>
      <c r="D681" s="2955" t="s">
        <v>3702</v>
      </c>
      <c r="E681" s="2955">
        <v>131.96</v>
      </c>
      <c r="F681" s="3169">
        <v>3206100</v>
      </c>
      <c r="G681" s="3252">
        <f t="shared" si="10"/>
        <v>24295.998787511366</v>
      </c>
    </row>
    <row r="682" spans="1:7">
      <c r="A682" s="2955">
        <v>681</v>
      </c>
      <c r="B682" s="2955" t="s">
        <v>3053</v>
      </c>
      <c r="C682" s="2955" t="s">
        <v>3649</v>
      </c>
      <c r="D682" s="2955" t="s">
        <v>3703</v>
      </c>
      <c r="E682" s="2955">
        <v>134.86000000000001</v>
      </c>
      <c r="F682" s="3169">
        <v>3230706</v>
      </c>
      <c r="G682" s="3252">
        <f t="shared" si="10"/>
        <v>23955.998813584454</v>
      </c>
    </row>
    <row r="683" spans="1:7">
      <c r="A683" s="2955">
        <v>682</v>
      </c>
      <c r="B683" s="2955" t="s">
        <v>3053</v>
      </c>
      <c r="C683" s="2955" t="s">
        <v>3649</v>
      </c>
      <c r="D683" s="2955" t="s">
        <v>3704</v>
      </c>
      <c r="E683" s="2955">
        <v>131.96</v>
      </c>
      <c r="F683" s="3169">
        <v>3206100</v>
      </c>
      <c r="G683" s="3252">
        <f t="shared" si="10"/>
        <v>24295.998787511366</v>
      </c>
    </row>
    <row r="684" spans="1:7">
      <c r="A684" s="2955">
        <v>683</v>
      </c>
      <c r="B684" s="2955" t="s">
        <v>3053</v>
      </c>
      <c r="C684" s="2955" t="s">
        <v>3649</v>
      </c>
      <c r="D684" s="2955" t="s">
        <v>3705</v>
      </c>
      <c r="E684" s="2955">
        <v>134.86000000000001</v>
      </c>
      <c r="F684" s="3169">
        <v>3147093</v>
      </c>
      <c r="G684" s="3252">
        <f t="shared" si="10"/>
        <v>23336.000296603885</v>
      </c>
    </row>
    <row r="685" spans="1:7">
      <c r="A685" s="2955">
        <v>684</v>
      </c>
      <c r="B685" s="2955" t="s">
        <v>3053</v>
      </c>
      <c r="C685" s="2955" t="s">
        <v>3649</v>
      </c>
      <c r="D685" s="2955" t="s">
        <v>3706</v>
      </c>
      <c r="E685" s="2955">
        <v>134.86000000000001</v>
      </c>
      <c r="F685" s="3169">
        <v>3147093</v>
      </c>
      <c r="G685" s="3252">
        <f t="shared" si="10"/>
        <v>23336.000296603885</v>
      </c>
    </row>
    <row r="686" spans="1:7">
      <c r="A686" s="2955">
        <v>685</v>
      </c>
      <c r="B686" s="2955" t="s">
        <v>3053</v>
      </c>
      <c r="C686" s="2955" t="s">
        <v>3649</v>
      </c>
      <c r="D686" s="2955" t="s">
        <v>3707</v>
      </c>
      <c r="E686" s="2955">
        <v>134.91</v>
      </c>
      <c r="F686" s="3169">
        <v>3275075</v>
      </c>
      <c r="G686" s="3252">
        <f t="shared" si="10"/>
        <v>24275.998814024166</v>
      </c>
    </row>
    <row r="687" spans="1:7">
      <c r="A687" s="2955">
        <v>686</v>
      </c>
      <c r="B687" s="2955" t="s">
        <v>3053</v>
      </c>
      <c r="C687" s="2955" t="s">
        <v>3649</v>
      </c>
      <c r="D687" s="2955" t="s">
        <v>3708</v>
      </c>
      <c r="E687" s="2955">
        <v>134.91</v>
      </c>
      <c r="F687" s="3169">
        <v>3280337</v>
      </c>
      <c r="G687" s="3252">
        <f t="shared" si="10"/>
        <v>24315.002594322141</v>
      </c>
    </row>
    <row r="688" spans="1:7">
      <c r="A688" s="2955">
        <v>687</v>
      </c>
      <c r="B688" s="2955" t="s">
        <v>3053</v>
      </c>
      <c r="C688" s="2955" t="s">
        <v>3649</v>
      </c>
      <c r="D688" s="2955" t="s">
        <v>3709</v>
      </c>
      <c r="E688" s="2955">
        <v>131.96</v>
      </c>
      <c r="F688" s="3169">
        <v>3206100</v>
      </c>
      <c r="G688" s="3252">
        <f t="shared" si="10"/>
        <v>24295.998787511366</v>
      </c>
    </row>
    <row r="689" spans="1:7">
      <c r="A689" s="2955">
        <v>688</v>
      </c>
      <c r="B689" s="2955" t="s">
        <v>3053</v>
      </c>
      <c r="C689" s="2955" t="s">
        <v>3649</v>
      </c>
      <c r="D689" s="2955" t="s">
        <v>3710</v>
      </c>
      <c r="E689" s="2955">
        <v>131.96</v>
      </c>
      <c r="F689" s="3169">
        <v>3170339</v>
      </c>
      <c r="G689" s="3252">
        <f t="shared" si="10"/>
        <v>24025</v>
      </c>
    </row>
    <row r="690" spans="1:7">
      <c r="A690" s="2955">
        <v>689</v>
      </c>
      <c r="B690" s="2955" t="s">
        <v>3053</v>
      </c>
      <c r="C690" s="2955" t="s">
        <v>3649</v>
      </c>
      <c r="D690" s="2955" t="s">
        <v>3711</v>
      </c>
      <c r="E690" s="2955">
        <v>213.37</v>
      </c>
      <c r="F690" s="3169">
        <v>3478160</v>
      </c>
      <c r="G690" s="3252">
        <f t="shared" si="10"/>
        <v>16301.073253034634</v>
      </c>
    </row>
    <row r="691" spans="1:7">
      <c r="A691" s="2955">
        <v>690</v>
      </c>
      <c r="B691" s="2955" t="s">
        <v>3053</v>
      </c>
      <c r="C691" s="2955" t="s">
        <v>3649</v>
      </c>
      <c r="D691" s="2955" t="s">
        <v>3712</v>
      </c>
      <c r="E691" s="2955">
        <v>134.91</v>
      </c>
      <c r="F691" s="3169">
        <v>3242697</v>
      </c>
      <c r="G691" s="3252">
        <f t="shared" si="10"/>
        <v>24036.001778963753</v>
      </c>
    </row>
    <row r="692" spans="1:7">
      <c r="A692" s="2955">
        <v>691</v>
      </c>
      <c r="B692" s="2955" t="s">
        <v>3053</v>
      </c>
      <c r="C692" s="2955" t="s">
        <v>3649</v>
      </c>
      <c r="D692" s="2955" t="s">
        <v>3713</v>
      </c>
      <c r="E692" s="2955">
        <v>134.91</v>
      </c>
      <c r="F692" s="3169">
        <v>3216929</v>
      </c>
      <c r="G692" s="3252">
        <f t="shared" si="10"/>
        <v>23845.00037061745</v>
      </c>
    </row>
    <row r="693" spans="1:7">
      <c r="A693" s="2955">
        <v>692</v>
      </c>
      <c r="B693" s="2955" t="s">
        <v>3053</v>
      </c>
      <c r="C693" s="2955" t="s">
        <v>3649</v>
      </c>
      <c r="D693" s="2955" t="s">
        <v>3714</v>
      </c>
      <c r="E693" s="2955">
        <v>134.86000000000001</v>
      </c>
      <c r="F693" s="3169">
        <v>3252284</v>
      </c>
      <c r="G693" s="3252">
        <f t="shared" si="10"/>
        <v>24116.001779623311</v>
      </c>
    </row>
    <row r="694" spans="1:7">
      <c r="A694" s="2955">
        <v>693</v>
      </c>
      <c r="B694" s="2955" t="s">
        <v>3053</v>
      </c>
      <c r="C694" s="2955" t="s">
        <v>3649</v>
      </c>
      <c r="D694" s="2955" t="s">
        <v>3715</v>
      </c>
      <c r="E694" s="2955">
        <v>134.91</v>
      </c>
      <c r="F694" s="3169">
        <v>3253490</v>
      </c>
      <c r="G694" s="3252">
        <f t="shared" si="10"/>
        <v>24116.003261433551</v>
      </c>
    </row>
    <row r="695" spans="1:7">
      <c r="A695" s="2955">
        <v>694</v>
      </c>
      <c r="B695" s="2955" t="s">
        <v>3053</v>
      </c>
      <c r="C695" s="2955" t="s">
        <v>3649</v>
      </c>
      <c r="D695" s="2955" t="s">
        <v>3716</v>
      </c>
      <c r="E695" s="2955">
        <v>131.96</v>
      </c>
      <c r="F695" s="3169">
        <v>3195543</v>
      </c>
      <c r="G695" s="3252">
        <f t="shared" si="10"/>
        <v>24215.997271900575</v>
      </c>
    </row>
    <row r="696" spans="1:7">
      <c r="A696" s="2955">
        <v>695</v>
      </c>
      <c r="B696" s="2955" t="s">
        <v>3053</v>
      </c>
      <c r="C696" s="2955" t="s">
        <v>3649</v>
      </c>
      <c r="D696" s="2955" t="s">
        <v>3717</v>
      </c>
      <c r="E696" s="2955">
        <v>134.91</v>
      </c>
      <c r="F696" s="3169">
        <v>3264282</v>
      </c>
      <c r="G696" s="3252">
        <f t="shared" si="10"/>
        <v>24195.997331554368</v>
      </c>
    </row>
    <row r="697" spans="1:7">
      <c r="A697" s="2955">
        <v>696</v>
      </c>
      <c r="B697" s="2955" t="s">
        <v>3053</v>
      </c>
      <c r="C697" s="2955" t="s">
        <v>3649</v>
      </c>
      <c r="D697" s="2955" t="s">
        <v>3718</v>
      </c>
      <c r="E697" s="2955">
        <v>134.91</v>
      </c>
      <c r="F697" s="3169">
        <v>3227722</v>
      </c>
      <c r="G697" s="3252">
        <f t="shared" si="10"/>
        <v>23925.001853087244</v>
      </c>
    </row>
    <row r="698" spans="1:7">
      <c r="A698" s="2955">
        <v>697</v>
      </c>
      <c r="B698" s="2955" t="s">
        <v>3053</v>
      </c>
      <c r="C698" s="2955" t="s">
        <v>3649</v>
      </c>
      <c r="D698" s="2955" t="s">
        <v>3719</v>
      </c>
      <c r="E698" s="2955">
        <v>131.96</v>
      </c>
      <c r="F698" s="3169">
        <v>3076647</v>
      </c>
      <c r="G698" s="3252">
        <f t="shared" si="10"/>
        <v>23314.996968778418</v>
      </c>
    </row>
    <row r="699" spans="1:7">
      <c r="A699" s="2955">
        <v>698</v>
      </c>
      <c r="B699" s="2955" t="s">
        <v>3053</v>
      </c>
      <c r="C699" s="2955" t="s">
        <v>3649</v>
      </c>
      <c r="D699" s="2955" t="s">
        <v>3720</v>
      </c>
      <c r="E699" s="2955">
        <v>134.91</v>
      </c>
      <c r="F699" s="3169">
        <v>3270893</v>
      </c>
      <c r="G699" s="3252">
        <f t="shared" si="10"/>
        <v>24245.00037061745</v>
      </c>
    </row>
    <row r="700" spans="1:7">
      <c r="A700" s="2955">
        <v>699</v>
      </c>
      <c r="B700" s="2955" t="s">
        <v>3053</v>
      </c>
      <c r="C700" s="2955" t="s">
        <v>3649</v>
      </c>
      <c r="D700" s="2955" t="s">
        <v>3721</v>
      </c>
      <c r="E700" s="2955">
        <v>134.91</v>
      </c>
      <c r="F700" s="3169">
        <v>3222460</v>
      </c>
      <c r="G700" s="3252">
        <f t="shared" si="10"/>
        <v>23885.998072789269</v>
      </c>
    </row>
    <row r="701" spans="1:7">
      <c r="A701" s="2955">
        <v>700</v>
      </c>
      <c r="B701" s="2955" t="s">
        <v>3053</v>
      </c>
      <c r="C701" s="2955" t="s">
        <v>3649</v>
      </c>
      <c r="D701" s="2955" t="s">
        <v>3722</v>
      </c>
      <c r="E701" s="2955">
        <v>134.91</v>
      </c>
      <c r="F701" s="3169">
        <v>3270893</v>
      </c>
      <c r="G701" s="3252">
        <f t="shared" si="10"/>
        <v>24245.00037061745</v>
      </c>
    </row>
    <row r="702" spans="1:7">
      <c r="A702" s="2955">
        <v>701</v>
      </c>
      <c r="B702" s="2955" t="s">
        <v>3053</v>
      </c>
      <c r="C702" s="2955" t="s">
        <v>3649</v>
      </c>
      <c r="D702" s="2955" t="s">
        <v>3723</v>
      </c>
      <c r="E702" s="2955">
        <v>134.91</v>
      </c>
      <c r="F702" s="3169">
        <v>3227722</v>
      </c>
      <c r="G702" s="3252">
        <f t="shared" si="10"/>
        <v>23925.001853087244</v>
      </c>
    </row>
    <row r="703" spans="1:7">
      <c r="A703" s="2955">
        <v>702</v>
      </c>
      <c r="B703" s="2955" t="s">
        <v>3053</v>
      </c>
      <c r="C703" s="2955" t="s">
        <v>3649</v>
      </c>
      <c r="D703" s="2955" t="s">
        <v>3724</v>
      </c>
      <c r="E703" s="2955">
        <v>131.96</v>
      </c>
      <c r="F703" s="3169">
        <v>3138669</v>
      </c>
      <c r="G703" s="3252">
        <f t="shared" si="10"/>
        <v>23785.003031221582</v>
      </c>
    </row>
    <row r="704" spans="1:7">
      <c r="A704" s="2955">
        <v>703</v>
      </c>
      <c r="B704" s="2955" t="s">
        <v>3053</v>
      </c>
      <c r="C704" s="2955" t="s">
        <v>3649</v>
      </c>
      <c r="D704" s="2955" t="s">
        <v>3725</v>
      </c>
      <c r="E704" s="2955">
        <v>134.91</v>
      </c>
      <c r="F704" s="3169">
        <v>3318246</v>
      </c>
      <c r="G704" s="3252">
        <f t="shared" si="10"/>
        <v>24595.997331554368</v>
      </c>
    </row>
    <row r="705" spans="1:7">
      <c r="A705" s="2955">
        <v>704</v>
      </c>
      <c r="B705" s="2955" t="s">
        <v>3053</v>
      </c>
      <c r="C705" s="2955" t="s">
        <v>3649</v>
      </c>
      <c r="D705" s="2955" t="s">
        <v>3726</v>
      </c>
      <c r="E705" s="2955">
        <v>134.91</v>
      </c>
      <c r="F705" s="3169">
        <v>3318246</v>
      </c>
      <c r="G705" s="3252">
        <f t="shared" si="10"/>
        <v>24595.997331554368</v>
      </c>
    </row>
    <row r="706" spans="1:7">
      <c r="A706" s="2955">
        <v>705</v>
      </c>
      <c r="B706" s="2955" t="s">
        <v>3053</v>
      </c>
      <c r="C706" s="2955" t="s">
        <v>3649</v>
      </c>
      <c r="D706" s="2955" t="s">
        <v>3727</v>
      </c>
      <c r="E706" s="2955">
        <v>131.96</v>
      </c>
      <c r="F706" s="3169">
        <v>3076647</v>
      </c>
      <c r="G706" s="3252">
        <f t="shared" si="10"/>
        <v>23314.996968778418</v>
      </c>
    </row>
    <row r="707" spans="1:7">
      <c r="A707" s="2955">
        <v>706</v>
      </c>
      <c r="B707" s="2955" t="s">
        <v>3053</v>
      </c>
      <c r="C707" s="2955" t="s">
        <v>3649</v>
      </c>
      <c r="D707" s="2955" t="s">
        <v>3728</v>
      </c>
      <c r="E707" s="2955">
        <v>134.91</v>
      </c>
      <c r="F707" s="3169">
        <v>3316897</v>
      </c>
      <c r="G707" s="3252">
        <f t="shared" ref="G707:G770" si="11">F707/E707</f>
        <v>24585.998072789269</v>
      </c>
    </row>
    <row r="708" spans="1:7">
      <c r="A708" s="2955">
        <v>707</v>
      </c>
      <c r="B708" s="2955" t="s">
        <v>3053</v>
      </c>
      <c r="C708" s="2955" t="s">
        <v>3649</v>
      </c>
      <c r="D708" s="2955" t="s">
        <v>3729</v>
      </c>
      <c r="E708" s="2955">
        <v>131.96</v>
      </c>
      <c r="F708" s="3169">
        <v>3132203</v>
      </c>
      <c r="G708" s="3252">
        <f t="shared" si="11"/>
        <v>23736.003334343739</v>
      </c>
    </row>
    <row r="709" spans="1:7">
      <c r="A709" s="2955">
        <v>708</v>
      </c>
      <c r="B709" s="2955" t="s">
        <v>3053</v>
      </c>
      <c r="C709" s="2955" t="s">
        <v>3649</v>
      </c>
      <c r="D709" s="2955" t="s">
        <v>3730</v>
      </c>
      <c r="E709" s="2955">
        <v>131.96</v>
      </c>
      <c r="F709" s="3169">
        <v>3159782</v>
      </c>
      <c r="G709" s="3252">
        <f t="shared" si="11"/>
        <v>23944.998484389209</v>
      </c>
    </row>
    <row r="710" spans="1:7">
      <c r="A710" s="2955">
        <v>709</v>
      </c>
      <c r="B710" s="2955" t="s">
        <v>3053</v>
      </c>
      <c r="C710" s="2955" t="s">
        <v>3649</v>
      </c>
      <c r="D710" s="2955" t="s">
        <v>3731</v>
      </c>
      <c r="E710" s="2955">
        <v>131.96</v>
      </c>
      <c r="F710" s="3169">
        <v>3206100</v>
      </c>
      <c r="G710" s="3252">
        <f t="shared" si="11"/>
        <v>24295.998787511366</v>
      </c>
    </row>
    <row r="711" spans="1:7">
      <c r="A711" s="2955">
        <v>710</v>
      </c>
      <c r="B711" s="2955" t="s">
        <v>3053</v>
      </c>
      <c r="C711" s="2955" t="s">
        <v>3649</v>
      </c>
      <c r="D711" s="2955" t="s">
        <v>3732</v>
      </c>
      <c r="E711" s="2955">
        <v>134.91</v>
      </c>
      <c r="F711" s="3169">
        <v>3165663</v>
      </c>
      <c r="G711" s="3252">
        <f t="shared" si="11"/>
        <v>23464.998888147653</v>
      </c>
    </row>
    <row r="712" spans="1:7">
      <c r="A712" s="2955">
        <v>711</v>
      </c>
      <c r="B712" s="2955" t="s">
        <v>3053</v>
      </c>
      <c r="C712" s="2955" t="s">
        <v>3649</v>
      </c>
      <c r="D712" s="2955" t="s">
        <v>3733</v>
      </c>
      <c r="E712" s="2955">
        <v>134.91</v>
      </c>
      <c r="F712" s="3169">
        <v>3318246</v>
      </c>
      <c r="G712" s="3252">
        <f t="shared" si="11"/>
        <v>24595.997331554368</v>
      </c>
    </row>
    <row r="713" spans="1:7">
      <c r="A713" s="2955">
        <v>712</v>
      </c>
      <c r="B713" s="2955" t="s">
        <v>3053</v>
      </c>
      <c r="C713" s="2955" t="s">
        <v>3649</v>
      </c>
      <c r="D713" s="2955" t="s">
        <v>3734</v>
      </c>
      <c r="E713" s="2955">
        <v>134.86000000000001</v>
      </c>
      <c r="F713" s="3169">
        <v>3167322</v>
      </c>
      <c r="G713" s="3252">
        <f t="shared" si="11"/>
        <v>23486.000296603885</v>
      </c>
    </row>
    <row r="714" spans="1:7">
      <c r="A714" s="2955">
        <v>713</v>
      </c>
      <c r="B714" s="2955" t="s">
        <v>3053</v>
      </c>
      <c r="C714" s="2955" t="s">
        <v>3649</v>
      </c>
      <c r="D714" s="2955" t="s">
        <v>3735</v>
      </c>
      <c r="E714" s="2955">
        <v>131.96</v>
      </c>
      <c r="F714" s="3169">
        <v>3138669</v>
      </c>
      <c r="G714" s="3252">
        <f t="shared" si="11"/>
        <v>23785.003031221582</v>
      </c>
    </row>
    <row r="715" spans="1:7">
      <c r="A715" s="2955">
        <v>714</v>
      </c>
      <c r="B715" s="2955" t="s">
        <v>3053</v>
      </c>
      <c r="C715" s="2955" t="s">
        <v>3649</v>
      </c>
      <c r="D715" s="2955" t="s">
        <v>3736</v>
      </c>
      <c r="E715" s="2955">
        <v>213.45</v>
      </c>
      <c r="F715" s="3169">
        <v>3496136</v>
      </c>
      <c r="G715" s="3252">
        <f t="shared" si="11"/>
        <v>16379.1801358632</v>
      </c>
    </row>
    <row r="716" spans="1:7">
      <c r="A716" s="2955">
        <v>715</v>
      </c>
      <c r="B716" s="2955" t="s">
        <v>3053</v>
      </c>
      <c r="C716" s="2955" t="s">
        <v>3649</v>
      </c>
      <c r="D716" s="2955" t="s">
        <v>3737</v>
      </c>
      <c r="E716" s="2955">
        <v>134.91</v>
      </c>
      <c r="F716" s="3169">
        <v>3222460</v>
      </c>
      <c r="G716" s="3252">
        <f t="shared" si="11"/>
        <v>23885.998072789269</v>
      </c>
    </row>
    <row r="717" spans="1:7">
      <c r="A717" s="2955">
        <v>716</v>
      </c>
      <c r="B717" s="2955" t="s">
        <v>3053</v>
      </c>
      <c r="C717" s="2955" t="s">
        <v>3649</v>
      </c>
      <c r="D717" s="2955" t="s">
        <v>3738</v>
      </c>
      <c r="E717" s="2955">
        <v>134.91</v>
      </c>
      <c r="F717" s="3169">
        <v>3216929</v>
      </c>
      <c r="G717" s="3252">
        <f t="shared" si="11"/>
        <v>23845.00037061745</v>
      </c>
    </row>
    <row r="718" spans="1:7">
      <c r="A718" s="2955">
        <v>717</v>
      </c>
      <c r="B718" s="2955" t="s">
        <v>3053</v>
      </c>
      <c r="C718" s="2955" t="s">
        <v>3649</v>
      </c>
      <c r="D718" s="2955" t="s">
        <v>3739</v>
      </c>
      <c r="E718" s="2955">
        <v>131.96</v>
      </c>
      <c r="F718" s="3169">
        <v>3072821</v>
      </c>
      <c r="G718" s="3252">
        <f t="shared" si="11"/>
        <v>23286.003334343739</v>
      </c>
    </row>
    <row r="719" spans="1:7">
      <c r="A719" s="2955">
        <v>718</v>
      </c>
      <c r="B719" s="2955" t="s">
        <v>3053</v>
      </c>
      <c r="C719" s="2955" t="s">
        <v>3649</v>
      </c>
      <c r="D719" s="2955" t="s">
        <v>3740</v>
      </c>
      <c r="E719" s="2955">
        <v>131.96</v>
      </c>
      <c r="F719" s="3169">
        <v>3128112</v>
      </c>
      <c r="G719" s="3252">
        <f t="shared" si="11"/>
        <v>23705.001515610791</v>
      </c>
    </row>
    <row r="720" spans="1:7">
      <c r="A720" s="2955">
        <v>719</v>
      </c>
      <c r="B720" s="2955" t="s">
        <v>3053</v>
      </c>
      <c r="C720" s="2955" t="s">
        <v>3649</v>
      </c>
      <c r="D720" s="2955" t="s">
        <v>3741</v>
      </c>
      <c r="E720" s="2955">
        <v>134.91</v>
      </c>
      <c r="F720" s="3169">
        <v>3281686</v>
      </c>
      <c r="G720" s="3252">
        <f t="shared" si="11"/>
        <v>24325.001853087244</v>
      </c>
    </row>
    <row r="721" spans="1:7">
      <c r="A721" s="2955">
        <v>720</v>
      </c>
      <c r="B721" s="2955" t="s">
        <v>3053</v>
      </c>
      <c r="C721" s="2955" t="s">
        <v>3649</v>
      </c>
      <c r="D721" s="2955" t="s">
        <v>3742</v>
      </c>
      <c r="E721" s="2955">
        <v>134.91</v>
      </c>
      <c r="F721" s="3169">
        <v>3260100</v>
      </c>
      <c r="G721" s="3252">
        <f t="shared" si="11"/>
        <v>24164.998888147653</v>
      </c>
    </row>
    <row r="722" spans="1:7">
      <c r="A722" s="2955">
        <v>721</v>
      </c>
      <c r="B722" s="2955" t="s">
        <v>3572</v>
      </c>
      <c r="C722" s="2955" t="s">
        <v>3621</v>
      </c>
      <c r="D722" s="2955" t="s">
        <v>3743</v>
      </c>
      <c r="E722" s="2955">
        <v>134.91</v>
      </c>
      <c r="F722" s="3169">
        <v>3206136</v>
      </c>
      <c r="G722" s="3252">
        <f t="shared" si="11"/>
        <v>23764.998888147653</v>
      </c>
    </row>
    <row r="723" spans="1:7">
      <c r="A723" s="2955">
        <v>722</v>
      </c>
      <c r="B723" s="2955" t="s">
        <v>3053</v>
      </c>
      <c r="C723" s="2955" t="s">
        <v>3649</v>
      </c>
      <c r="D723" s="2955" t="s">
        <v>3744</v>
      </c>
      <c r="E723" s="2955">
        <v>233.97</v>
      </c>
      <c r="F723" s="3169">
        <v>3714486</v>
      </c>
      <c r="G723" s="3252">
        <f t="shared" si="11"/>
        <v>15875.907167585588</v>
      </c>
    </row>
    <row r="724" spans="1:7">
      <c r="A724" s="2955">
        <v>723</v>
      </c>
      <c r="B724" s="2955" t="s">
        <v>3053</v>
      </c>
      <c r="C724" s="2955" t="s">
        <v>3649</v>
      </c>
      <c r="D724" s="2955" t="s">
        <v>3745</v>
      </c>
      <c r="E724" s="2955">
        <v>134.91</v>
      </c>
      <c r="F724" s="3169">
        <v>3181987</v>
      </c>
      <c r="G724" s="3252">
        <f t="shared" si="11"/>
        <v>23585.998072789269</v>
      </c>
    </row>
    <row r="725" spans="1:7">
      <c r="A725" s="2955">
        <v>724</v>
      </c>
      <c r="B725" s="2955" t="s">
        <v>3053</v>
      </c>
      <c r="C725" s="2955" t="s">
        <v>3649</v>
      </c>
      <c r="D725" s="2955" t="s">
        <v>3746</v>
      </c>
      <c r="E725" s="2955">
        <v>134.91</v>
      </c>
      <c r="F725" s="3169">
        <v>3185900</v>
      </c>
      <c r="G725" s="3252">
        <f t="shared" si="11"/>
        <v>23615.002594322141</v>
      </c>
    </row>
    <row r="726" spans="1:7">
      <c r="A726" s="2955">
        <v>725</v>
      </c>
      <c r="B726" s="2955" t="s">
        <v>3053</v>
      </c>
      <c r="C726" s="2955" t="s">
        <v>3649</v>
      </c>
      <c r="D726" s="2955" t="s">
        <v>3747</v>
      </c>
      <c r="E726" s="2955">
        <v>131.96</v>
      </c>
      <c r="F726" s="3169">
        <v>3195543</v>
      </c>
      <c r="G726" s="3252">
        <f t="shared" si="11"/>
        <v>24215.997271900575</v>
      </c>
    </row>
    <row r="727" spans="1:7">
      <c r="A727" s="2955">
        <v>726</v>
      </c>
      <c r="B727" s="2955" t="s">
        <v>3053</v>
      </c>
      <c r="C727" s="2955" t="s">
        <v>3649</v>
      </c>
      <c r="D727" s="2955" t="s">
        <v>3748</v>
      </c>
      <c r="E727" s="2955">
        <v>131.91999999999999</v>
      </c>
      <c r="F727" s="3169">
        <v>3078485</v>
      </c>
      <c r="G727" s="3252">
        <f t="shared" si="11"/>
        <v>23335.999090357796</v>
      </c>
    </row>
    <row r="728" spans="1:7">
      <c r="A728" s="2955">
        <v>727</v>
      </c>
      <c r="B728" s="2955" t="s">
        <v>3053</v>
      </c>
      <c r="C728" s="2955" t="s">
        <v>3649</v>
      </c>
      <c r="D728" s="2955" t="s">
        <v>3749</v>
      </c>
      <c r="E728" s="2955">
        <v>134.86000000000001</v>
      </c>
      <c r="F728" s="3169">
        <v>3209129</v>
      </c>
      <c r="G728" s="3252">
        <f t="shared" si="11"/>
        <v>23796.003262642738</v>
      </c>
    </row>
    <row r="729" spans="1:7">
      <c r="A729" s="2955">
        <v>728</v>
      </c>
      <c r="B729" s="2955" t="s">
        <v>3053</v>
      </c>
      <c r="C729" s="2955" t="s">
        <v>3649</v>
      </c>
      <c r="D729" s="2955" t="s">
        <v>3750</v>
      </c>
      <c r="E729" s="2955">
        <v>134.91</v>
      </c>
      <c r="F729" s="3169">
        <v>3231640</v>
      </c>
      <c r="G729" s="3252">
        <f t="shared" si="11"/>
        <v>23954.043436364984</v>
      </c>
    </row>
    <row r="730" spans="1:7">
      <c r="A730" s="2955">
        <v>729</v>
      </c>
      <c r="B730" s="2955" t="s">
        <v>3053</v>
      </c>
      <c r="C730" s="2955" t="s">
        <v>3649</v>
      </c>
      <c r="D730" s="2955" t="s">
        <v>3751</v>
      </c>
      <c r="E730" s="2955">
        <v>134.86000000000001</v>
      </c>
      <c r="F730" s="3169">
        <v>3252284</v>
      </c>
      <c r="G730" s="3252">
        <f t="shared" si="11"/>
        <v>24116.001779623311</v>
      </c>
    </row>
    <row r="731" spans="1:7">
      <c r="A731" s="2955">
        <v>730</v>
      </c>
      <c r="B731" s="2955" t="s">
        <v>3053</v>
      </c>
      <c r="C731" s="2955" t="s">
        <v>3649</v>
      </c>
      <c r="D731" s="2955" t="s">
        <v>3752</v>
      </c>
      <c r="E731" s="2955">
        <v>131.96</v>
      </c>
      <c r="F731" s="3169">
        <v>3206100</v>
      </c>
      <c r="G731" s="3252">
        <f t="shared" si="11"/>
        <v>24295.998787511366</v>
      </c>
    </row>
    <row r="732" spans="1:7">
      <c r="A732" s="2955">
        <v>731</v>
      </c>
      <c r="B732" s="2955" t="s">
        <v>3053</v>
      </c>
      <c r="C732" s="2955" t="s">
        <v>3649</v>
      </c>
      <c r="D732" s="2955" t="s">
        <v>3753</v>
      </c>
      <c r="E732" s="2955">
        <v>134.91</v>
      </c>
      <c r="F732" s="3169">
        <v>3285868</v>
      </c>
      <c r="G732" s="3252">
        <f t="shared" si="11"/>
        <v>24356.000296493959</v>
      </c>
    </row>
    <row r="733" spans="1:7">
      <c r="A733" s="2955">
        <v>732</v>
      </c>
      <c r="B733" s="2955" t="s">
        <v>3053</v>
      </c>
      <c r="C733" s="2955" t="s">
        <v>3649</v>
      </c>
      <c r="D733" s="2955" t="s">
        <v>3754</v>
      </c>
      <c r="E733" s="2955">
        <v>134.91</v>
      </c>
      <c r="F733" s="3169">
        <v>3206136</v>
      </c>
      <c r="G733" s="3252">
        <f t="shared" si="11"/>
        <v>23764.998888147653</v>
      </c>
    </row>
    <row r="734" spans="1:7">
      <c r="A734" s="2955">
        <v>733</v>
      </c>
      <c r="B734" s="2955" t="s">
        <v>3053</v>
      </c>
      <c r="C734" s="2955" t="s">
        <v>3649</v>
      </c>
      <c r="D734" s="2955" t="s">
        <v>3755</v>
      </c>
      <c r="E734" s="2955">
        <v>134.86000000000001</v>
      </c>
      <c r="F734" s="3169">
        <v>3219917</v>
      </c>
      <c r="G734" s="3252">
        <f t="shared" si="11"/>
        <v>23875.997330565027</v>
      </c>
    </row>
    <row r="735" spans="1:7">
      <c r="A735" s="2955">
        <v>734</v>
      </c>
      <c r="B735" s="2955" t="s">
        <v>3053</v>
      </c>
      <c r="C735" s="2955" t="s">
        <v>3649</v>
      </c>
      <c r="D735" s="2955" t="s">
        <v>3756</v>
      </c>
      <c r="E735" s="2955">
        <v>131.96</v>
      </c>
      <c r="F735" s="3169">
        <v>3142686</v>
      </c>
      <c r="G735" s="3252">
        <f t="shared" si="11"/>
        <v>23815.444073961804</v>
      </c>
    </row>
    <row r="736" spans="1:7">
      <c r="A736" s="2955">
        <v>735</v>
      </c>
      <c r="B736" s="2955" t="s">
        <v>3053</v>
      </c>
      <c r="C736" s="2955" t="s">
        <v>3649</v>
      </c>
      <c r="D736" s="2955" t="s">
        <v>3757</v>
      </c>
      <c r="E736" s="2955">
        <v>134.86000000000001</v>
      </c>
      <c r="F736" s="3169">
        <v>3209129</v>
      </c>
      <c r="G736" s="3252">
        <f t="shared" si="11"/>
        <v>23796.003262642738</v>
      </c>
    </row>
    <row r="737" spans="1:7">
      <c r="A737" s="2955">
        <v>736</v>
      </c>
      <c r="B737" s="2955" t="s">
        <v>3053</v>
      </c>
      <c r="C737" s="2955" t="s">
        <v>3649</v>
      </c>
      <c r="D737" s="2955" t="s">
        <v>3758</v>
      </c>
      <c r="E737" s="2955">
        <v>134.86000000000001</v>
      </c>
      <c r="F737" s="3169">
        <v>3263073</v>
      </c>
      <c r="G737" s="3252">
        <f t="shared" si="11"/>
        <v>24196.003262642738</v>
      </c>
    </row>
    <row r="738" spans="1:7">
      <c r="A738" s="2955">
        <v>737</v>
      </c>
      <c r="B738" s="2955" t="s">
        <v>3053</v>
      </c>
      <c r="C738" s="2955" t="s">
        <v>3649</v>
      </c>
      <c r="D738" s="2955" t="s">
        <v>3759</v>
      </c>
      <c r="E738" s="2955">
        <v>134.91</v>
      </c>
      <c r="F738" s="3169">
        <v>3285868</v>
      </c>
      <c r="G738" s="3252">
        <f t="shared" si="11"/>
        <v>24356.000296493959</v>
      </c>
    </row>
    <row r="739" spans="1:7">
      <c r="A739" s="2955">
        <v>738</v>
      </c>
      <c r="B739" s="2955" t="s">
        <v>3053</v>
      </c>
      <c r="C739" s="2955" t="s">
        <v>3649</v>
      </c>
      <c r="D739" s="2955" t="s">
        <v>3760</v>
      </c>
      <c r="E739" s="2955">
        <v>131.96</v>
      </c>
      <c r="F739" s="3169">
        <v>3174430</v>
      </c>
      <c r="G739" s="3252">
        <f t="shared" si="11"/>
        <v>24056.001818732948</v>
      </c>
    </row>
    <row r="740" spans="1:7">
      <c r="A740" s="2955">
        <v>739</v>
      </c>
      <c r="B740" s="2955" t="s">
        <v>3053</v>
      </c>
      <c r="C740" s="2955" t="s">
        <v>3649</v>
      </c>
      <c r="D740" s="2955" t="s">
        <v>3761</v>
      </c>
      <c r="E740" s="2955">
        <v>134.86000000000001</v>
      </c>
      <c r="F740" s="3169">
        <v>3263073</v>
      </c>
      <c r="G740" s="3252">
        <f t="shared" si="11"/>
        <v>24196.003262642738</v>
      </c>
    </row>
    <row r="741" spans="1:7">
      <c r="A741" s="2955">
        <v>740</v>
      </c>
      <c r="B741" s="2955" t="s">
        <v>3053</v>
      </c>
      <c r="C741" s="2955" t="s">
        <v>3649</v>
      </c>
      <c r="D741" s="2955" t="s">
        <v>3762</v>
      </c>
      <c r="E741" s="2955">
        <v>131.91999999999999</v>
      </c>
      <c r="F741" s="3169">
        <v>3141807</v>
      </c>
      <c r="G741" s="3252">
        <f t="shared" si="11"/>
        <v>23816.002122498485</v>
      </c>
    </row>
    <row r="742" spans="1:7">
      <c r="A742" s="2955">
        <v>741</v>
      </c>
      <c r="B742" s="2955" t="s">
        <v>3016</v>
      </c>
      <c r="C742" s="2955" t="s">
        <v>3628</v>
      </c>
      <c r="D742" s="2955" t="s">
        <v>3763</v>
      </c>
      <c r="E742" s="2955">
        <v>131.96</v>
      </c>
      <c r="F742" s="3169">
        <v>3153316</v>
      </c>
      <c r="G742" s="3252">
        <f t="shared" si="11"/>
        <v>23895.998787511366</v>
      </c>
    </row>
    <row r="743" spans="1:7">
      <c r="A743" s="2955">
        <v>742</v>
      </c>
      <c r="B743" s="2955" t="s">
        <v>3016</v>
      </c>
      <c r="C743" s="2955" t="s">
        <v>3628</v>
      </c>
      <c r="D743" s="2955" t="s">
        <v>3764</v>
      </c>
      <c r="E743" s="2955">
        <v>131.96</v>
      </c>
      <c r="F743" s="3169">
        <v>3072821</v>
      </c>
      <c r="G743" s="3252">
        <f t="shared" si="11"/>
        <v>23286.003334343739</v>
      </c>
    </row>
    <row r="744" spans="1:7">
      <c r="A744" s="2955">
        <v>743</v>
      </c>
      <c r="B744" s="2955" t="s">
        <v>3016</v>
      </c>
      <c r="C744" s="2955" t="s">
        <v>3628</v>
      </c>
      <c r="D744" s="2955" t="s">
        <v>3765</v>
      </c>
      <c r="E744" s="2955">
        <v>213.45</v>
      </c>
      <c r="F744" s="3169">
        <v>3496136</v>
      </c>
      <c r="G744" s="3252">
        <f t="shared" si="11"/>
        <v>16379.1801358632</v>
      </c>
    </row>
    <row r="745" spans="1:7">
      <c r="A745" s="2955">
        <v>744</v>
      </c>
      <c r="B745" s="2955" t="s">
        <v>3016</v>
      </c>
      <c r="C745" s="2955" t="s">
        <v>3628</v>
      </c>
      <c r="D745" s="2955" t="s">
        <v>3766</v>
      </c>
      <c r="E745" s="2955">
        <v>134.91</v>
      </c>
      <c r="F745" s="3169">
        <v>3275075</v>
      </c>
      <c r="G745" s="3252">
        <f t="shared" si="11"/>
        <v>24275.998814024166</v>
      </c>
    </row>
    <row r="746" spans="1:7">
      <c r="A746" s="2955">
        <v>745</v>
      </c>
      <c r="B746" s="2955" t="s">
        <v>3016</v>
      </c>
      <c r="C746" s="2955" t="s">
        <v>3628</v>
      </c>
      <c r="D746" s="2955" t="s">
        <v>3767</v>
      </c>
      <c r="E746" s="2955">
        <v>131.91999999999999</v>
      </c>
      <c r="F746" s="3169">
        <v>3089039</v>
      </c>
      <c r="G746" s="3252">
        <f t="shared" si="11"/>
        <v>23416.002122498485</v>
      </c>
    </row>
    <row r="747" spans="1:7">
      <c r="A747" s="2955">
        <v>746</v>
      </c>
      <c r="B747" s="2955" t="s">
        <v>3016</v>
      </c>
      <c r="C747" s="2955" t="s">
        <v>3628</v>
      </c>
      <c r="D747" s="2955" t="s">
        <v>3768</v>
      </c>
      <c r="E747" s="2955">
        <v>131.96</v>
      </c>
      <c r="F747" s="3169">
        <v>3112409</v>
      </c>
      <c r="G747" s="3252">
        <f t="shared" si="11"/>
        <v>23586.003334343739</v>
      </c>
    </row>
    <row r="748" spans="1:7">
      <c r="A748" s="2955">
        <v>747</v>
      </c>
      <c r="B748" s="2955" t="s">
        <v>3016</v>
      </c>
      <c r="C748" s="2955" t="s">
        <v>3628</v>
      </c>
      <c r="D748" s="2955" t="s">
        <v>3769</v>
      </c>
      <c r="E748" s="2955">
        <v>134.86000000000001</v>
      </c>
      <c r="F748" s="3169">
        <v>3230706</v>
      </c>
      <c r="G748" s="3252">
        <f t="shared" si="11"/>
        <v>23955.998813584454</v>
      </c>
    </row>
    <row r="749" spans="1:7">
      <c r="A749" s="2955">
        <v>748</v>
      </c>
      <c r="B749" s="2955" t="s">
        <v>3016</v>
      </c>
      <c r="C749" s="2955" t="s">
        <v>3628</v>
      </c>
      <c r="D749" s="2955" t="s">
        <v>3770</v>
      </c>
      <c r="E749" s="2955">
        <v>134.91</v>
      </c>
      <c r="F749" s="3169">
        <v>3281686</v>
      </c>
      <c r="G749" s="3252">
        <f t="shared" si="11"/>
        <v>24325.001853087244</v>
      </c>
    </row>
    <row r="750" spans="1:7">
      <c r="A750" s="2955">
        <v>749</v>
      </c>
      <c r="B750" s="2955" t="s">
        <v>3016</v>
      </c>
      <c r="C750" s="2955" t="s">
        <v>3628</v>
      </c>
      <c r="D750" s="2955" t="s">
        <v>3771</v>
      </c>
      <c r="E750" s="2955">
        <v>131.96</v>
      </c>
      <c r="F750" s="3169">
        <v>3128184</v>
      </c>
      <c r="G750" s="3252">
        <f t="shared" si="11"/>
        <v>23705.547135495603</v>
      </c>
    </row>
    <row r="751" spans="1:7">
      <c r="A751" s="2955">
        <v>750</v>
      </c>
      <c r="B751" s="2955" t="s">
        <v>3016</v>
      </c>
      <c r="C751" s="2955" t="s">
        <v>3628</v>
      </c>
      <c r="D751" s="2955" t="s">
        <v>3772</v>
      </c>
      <c r="E751" s="2955">
        <v>131.96</v>
      </c>
      <c r="F751" s="3169">
        <v>3184987</v>
      </c>
      <c r="G751" s="3252">
        <f t="shared" si="11"/>
        <v>24136.003334343739</v>
      </c>
    </row>
    <row r="752" spans="1:7">
      <c r="A752" s="2955">
        <v>751</v>
      </c>
      <c r="B752" s="2955" t="s">
        <v>3016</v>
      </c>
      <c r="C752" s="2955" t="s">
        <v>3628</v>
      </c>
      <c r="D752" s="2955" t="s">
        <v>3773</v>
      </c>
      <c r="E752" s="2955">
        <v>131.96</v>
      </c>
      <c r="F752" s="3169">
        <v>3169019</v>
      </c>
      <c r="G752" s="3252">
        <f t="shared" si="11"/>
        <v>24014.996968778418</v>
      </c>
    </row>
    <row r="753" spans="1:7">
      <c r="A753" s="2955">
        <v>752</v>
      </c>
      <c r="B753" s="2955" t="s">
        <v>3016</v>
      </c>
      <c r="C753" s="2955" t="s">
        <v>3628</v>
      </c>
      <c r="D753" s="2955" t="s">
        <v>3774</v>
      </c>
      <c r="E753" s="2955">
        <v>131.96</v>
      </c>
      <c r="F753" s="3169">
        <v>3117555</v>
      </c>
      <c r="G753" s="3252">
        <f t="shared" si="11"/>
        <v>23625</v>
      </c>
    </row>
    <row r="754" spans="1:7">
      <c r="A754" s="2955">
        <v>753</v>
      </c>
      <c r="B754" s="2955" t="s">
        <v>3016</v>
      </c>
      <c r="C754" s="2955" t="s">
        <v>3628</v>
      </c>
      <c r="D754" s="2955" t="s">
        <v>3775</v>
      </c>
      <c r="E754" s="2955">
        <v>134.86000000000001</v>
      </c>
      <c r="F754" s="3169">
        <v>3198340</v>
      </c>
      <c r="G754" s="3252">
        <f t="shared" si="11"/>
        <v>23716.001779623311</v>
      </c>
    </row>
    <row r="755" spans="1:7">
      <c r="A755" s="2955">
        <v>754</v>
      </c>
      <c r="B755" s="2955" t="s">
        <v>3016</v>
      </c>
      <c r="C755" s="2955" t="s">
        <v>3628</v>
      </c>
      <c r="D755" s="2955" t="s">
        <v>3776</v>
      </c>
      <c r="E755" s="2955">
        <v>131.96</v>
      </c>
      <c r="F755" s="3169">
        <v>3128112</v>
      </c>
      <c r="G755" s="3252">
        <f t="shared" si="11"/>
        <v>23705.001515610791</v>
      </c>
    </row>
    <row r="756" spans="1:7">
      <c r="A756" s="2955">
        <v>755</v>
      </c>
      <c r="B756" s="2955" t="s">
        <v>3016</v>
      </c>
      <c r="C756" s="2955" t="s">
        <v>3628</v>
      </c>
      <c r="D756" s="2955" t="s">
        <v>3777</v>
      </c>
      <c r="E756" s="2955">
        <v>134.91</v>
      </c>
      <c r="F756" s="3169">
        <v>3281686</v>
      </c>
      <c r="G756" s="3252">
        <f t="shared" si="11"/>
        <v>24325.001853087244</v>
      </c>
    </row>
    <row r="757" spans="1:7">
      <c r="A757" s="2955">
        <v>756</v>
      </c>
      <c r="B757" s="2955" t="s">
        <v>3016</v>
      </c>
      <c r="C757" s="2955" t="s">
        <v>3628</v>
      </c>
      <c r="D757" s="2955" t="s">
        <v>3778</v>
      </c>
      <c r="E757" s="2955">
        <v>131.96</v>
      </c>
      <c r="F757" s="3169">
        <v>3170339</v>
      </c>
      <c r="G757" s="3252">
        <f t="shared" si="11"/>
        <v>24025</v>
      </c>
    </row>
    <row r="758" spans="1:7">
      <c r="A758" s="2955">
        <v>757</v>
      </c>
      <c r="B758" s="2955" t="s">
        <v>3016</v>
      </c>
      <c r="C758" s="2955" t="s">
        <v>3628</v>
      </c>
      <c r="D758" s="2955" t="s">
        <v>3779</v>
      </c>
      <c r="E758" s="2955">
        <v>131.96</v>
      </c>
      <c r="F758" s="3169">
        <v>3037059</v>
      </c>
      <c r="G758" s="3252">
        <f t="shared" si="11"/>
        <v>23014.996968778418</v>
      </c>
    </row>
    <row r="759" spans="1:7">
      <c r="A759" s="2955">
        <v>758</v>
      </c>
      <c r="B759" s="2955" t="s">
        <v>3016</v>
      </c>
      <c r="C759" s="2955" t="s">
        <v>3628</v>
      </c>
      <c r="D759" s="2955" t="s">
        <v>3780</v>
      </c>
      <c r="E759" s="2955">
        <v>131.96</v>
      </c>
      <c r="F759" s="3169">
        <v>3056853</v>
      </c>
      <c r="G759" s="3252">
        <f t="shared" si="11"/>
        <v>23164.996968778418</v>
      </c>
    </row>
    <row r="760" spans="1:7">
      <c r="A760" s="2955">
        <v>759</v>
      </c>
      <c r="B760" s="2955" t="s">
        <v>3016</v>
      </c>
      <c r="C760" s="2955" t="s">
        <v>3628</v>
      </c>
      <c r="D760" s="2955" t="s">
        <v>3781</v>
      </c>
      <c r="E760" s="2955">
        <v>134.91</v>
      </c>
      <c r="F760" s="3169">
        <v>3145427</v>
      </c>
      <c r="G760" s="3252">
        <f t="shared" si="11"/>
        <v>23315.002594322141</v>
      </c>
    </row>
    <row r="761" spans="1:7">
      <c r="A761" s="2955">
        <v>760</v>
      </c>
      <c r="B761" s="2955" t="s">
        <v>3016</v>
      </c>
      <c r="C761" s="2955" t="s">
        <v>3628</v>
      </c>
      <c r="D761" s="2955" t="s">
        <v>3782</v>
      </c>
      <c r="E761" s="2955">
        <v>131.96</v>
      </c>
      <c r="F761" s="3169">
        <v>3037059</v>
      </c>
      <c r="G761" s="3252">
        <f t="shared" si="11"/>
        <v>23014.996968778418</v>
      </c>
    </row>
    <row r="762" spans="1:7">
      <c r="A762" s="2955">
        <v>761</v>
      </c>
      <c r="B762" s="2955" t="s">
        <v>3016</v>
      </c>
      <c r="C762" s="2955" t="s">
        <v>3628</v>
      </c>
      <c r="D762" s="2955" t="s">
        <v>3783</v>
      </c>
      <c r="E762" s="2955">
        <v>134.86000000000001</v>
      </c>
      <c r="F762" s="3169">
        <v>3187551</v>
      </c>
      <c r="G762" s="3252">
        <f t="shared" si="11"/>
        <v>23636.000296603885</v>
      </c>
    </row>
    <row r="763" spans="1:7">
      <c r="A763" s="2955">
        <v>762</v>
      </c>
      <c r="B763" s="2955" t="s">
        <v>3016</v>
      </c>
      <c r="C763" s="2955" t="s">
        <v>3628</v>
      </c>
      <c r="D763" s="2955" t="s">
        <v>3784</v>
      </c>
      <c r="E763" s="2955">
        <v>131.96</v>
      </c>
      <c r="F763" s="3169">
        <v>3149225</v>
      </c>
      <c r="G763" s="3252">
        <f t="shared" si="11"/>
        <v>23864.996968778418</v>
      </c>
    </row>
    <row r="764" spans="1:7">
      <c r="A764" s="2955">
        <v>763</v>
      </c>
      <c r="B764" s="2955" t="s">
        <v>3785</v>
      </c>
      <c r="C764" s="2955" t="s">
        <v>3786</v>
      </c>
      <c r="D764" s="2955" t="s">
        <v>3787</v>
      </c>
      <c r="E764" s="2955">
        <v>96.43</v>
      </c>
      <c r="F764" s="3169">
        <v>2380760</v>
      </c>
      <c r="G764" s="3252">
        <f t="shared" si="11"/>
        <v>24688.997200041478</v>
      </c>
    </row>
    <row r="765" spans="1:7">
      <c r="A765" s="2955">
        <v>764</v>
      </c>
      <c r="B765" s="2955" t="s">
        <v>3785</v>
      </c>
      <c r="C765" s="2955" t="s">
        <v>3786</v>
      </c>
      <c r="D765" s="2955" t="s">
        <v>3788</v>
      </c>
      <c r="E765" s="2955">
        <v>97.24</v>
      </c>
      <c r="F765" s="3169">
        <v>2439654</v>
      </c>
      <c r="G765" s="3252">
        <f t="shared" si="11"/>
        <v>25088.996297819827</v>
      </c>
    </row>
    <row r="766" spans="1:7">
      <c r="A766" s="2955">
        <v>765</v>
      </c>
      <c r="B766" s="2955" t="s">
        <v>3785</v>
      </c>
      <c r="C766" s="2955" t="s">
        <v>3786</v>
      </c>
      <c r="D766" s="2955" t="s">
        <v>3789</v>
      </c>
      <c r="E766" s="2955">
        <v>97.24</v>
      </c>
      <c r="F766" s="3169">
        <v>2497998</v>
      </c>
      <c r="G766" s="3252">
        <f t="shared" si="11"/>
        <v>25688.996297819827</v>
      </c>
    </row>
    <row r="767" spans="1:7">
      <c r="A767" s="2955">
        <v>766</v>
      </c>
      <c r="B767" s="2955" t="s">
        <v>3790</v>
      </c>
      <c r="C767" s="2955" t="s">
        <v>3791</v>
      </c>
      <c r="D767" s="2955" t="s">
        <v>3792</v>
      </c>
      <c r="E767" s="2955">
        <v>96.8</v>
      </c>
      <c r="F767" s="3169">
        <v>2389895</v>
      </c>
      <c r="G767" s="3252">
        <f t="shared" si="11"/>
        <v>24688.997933884297</v>
      </c>
    </row>
    <row r="768" spans="1:7">
      <c r="A768" s="2955">
        <v>767</v>
      </c>
      <c r="B768" s="2955" t="s">
        <v>3790</v>
      </c>
      <c r="C768" s="2955" t="s">
        <v>3791</v>
      </c>
      <c r="D768" s="2955" t="s">
        <v>3793</v>
      </c>
      <c r="E768" s="2955">
        <v>96.43</v>
      </c>
      <c r="F768" s="3169">
        <v>2380760</v>
      </c>
      <c r="G768" s="3252">
        <f t="shared" si="11"/>
        <v>24688.997200041478</v>
      </c>
    </row>
    <row r="769" spans="1:7">
      <c r="A769" s="2955">
        <v>768</v>
      </c>
      <c r="B769" s="2955" t="s">
        <v>3790</v>
      </c>
      <c r="C769" s="2955" t="s">
        <v>3791</v>
      </c>
      <c r="D769" s="2955" t="s">
        <v>3794</v>
      </c>
      <c r="E769" s="2955">
        <v>96.43</v>
      </c>
      <c r="F769" s="3169">
        <v>2380760</v>
      </c>
      <c r="G769" s="3252">
        <f t="shared" si="11"/>
        <v>24688.997200041478</v>
      </c>
    </row>
    <row r="770" spans="1:7">
      <c r="A770" s="2955">
        <v>769</v>
      </c>
      <c r="B770" s="2955" t="s">
        <v>3790</v>
      </c>
      <c r="C770" s="2955" t="s">
        <v>3791</v>
      </c>
      <c r="D770" s="2955" t="s">
        <v>3795</v>
      </c>
      <c r="E770" s="2955">
        <v>97.24</v>
      </c>
      <c r="F770" s="3169">
        <v>2420206</v>
      </c>
      <c r="G770" s="3252">
        <f t="shared" si="11"/>
        <v>24888.996297819827</v>
      </c>
    </row>
    <row r="771" spans="1:7">
      <c r="A771" s="2955">
        <v>770</v>
      </c>
      <c r="B771" s="2955" t="s">
        <v>3790</v>
      </c>
      <c r="C771" s="2955" t="s">
        <v>3791</v>
      </c>
      <c r="D771" s="2955" t="s">
        <v>3796</v>
      </c>
      <c r="E771" s="2955">
        <v>126.32</v>
      </c>
      <c r="F771" s="3169">
        <v>3270298</v>
      </c>
      <c r="G771" s="3252">
        <f t="shared" ref="G771:G834" si="12">F771/E771</f>
        <v>25888.996200126665</v>
      </c>
    </row>
    <row r="772" spans="1:7">
      <c r="A772" s="2955">
        <v>771</v>
      </c>
      <c r="B772" s="2955" t="s">
        <v>3790</v>
      </c>
      <c r="C772" s="2955" t="s">
        <v>3791</v>
      </c>
      <c r="D772" s="2955" t="s">
        <v>3797</v>
      </c>
      <c r="E772" s="2955">
        <v>126.32</v>
      </c>
      <c r="F772" s="3169">
        <v>3295562</v>
      </c>
      <c r="G772" s="3252">
        <f t="shared" si="12"/>
        <v>26088.996200126665</v>
      </c>
    </row>
    <row r="773" spans="1:7">
      <c r="A773" s="2955">
        <v>772</v>
      </c>
      <c r="B773" s="2955" t="s">
        <v>3790</v>
      </c>
      <c r="C773" s="2955" t="s">
        <v>3791</v>
      </c>
      <c r="D773" s="2955" t="s">
        <v>3798</v>
      </c>
      <c r="E773" s="2955">
        <v>132.19</v>
      </c>
      <c r="F773" s="3169">
        <v>3448705</v>
      </c>
      <c r="G773" s="3252">
        <f t="shared" si="12"/>
        <v>26089.000680838188</v>
      </c>
    </row>
    <row r="774" spans="1:7">
      <c r="A774" s="2955">
        <v>773</v>
      </c>
      <c r="B774" s="2955" t="s">
        <v>3790</v>
      </c>
      <c r="C774" s="2955" t="s">
        <v>3791</v>
      </c>
      <c r="D774" s="2955" t="s">
        <v>3799</v>
      </c>
      <c r="E774" s="2955">
        <v>126.32</v>
      </c>
      <c r="F774" s="3169">
        <v>3320826</v>
      </c>
      <c r="G774" s="3252">
        <f t="shared" si="12"/>
        <v>26288.996200126665</v>
      </c>
    </row>
    <row r="775" spans="1:7">
      <c r="A775" s="2955">
        <v>774</v>
      </c>
      <c r="B775" s="2955" t="s">
        <v>3790</v>
      </c>
      <c r="C775" s="2955" t="s">
        <v>3791</v>
      </c>
      <c r="D775" s="2955" t="s">
        <v>3800</v>
      </c>
      <c r="E775" s="2955">
        <v>141.91</v>
      </c>
      <c r="F775" s="3169">
        <v>3673908</v>
      </c>
      <c r="G775" s="3252">
        <f t="shared" si="12"/>
        <v>25889.000070467198</v>
      </c>
    </row>
    <row r="776" spans="1:7">
      <c r="A776" s="2955">
        <v>775</v>
      </c>
      <c r="B776" s="2955" t="s">
        <v>3790</v>
      </c>
      <c r="C776" s="2955" t="s">
        <v>3791</v>
      </c>
      <c r="D776" s="2955" t="s">
        <v>3801</v>
      </c>
      <c r="E776" s="2955">
        <v>142.19999999999999</v>
      </c>
      <c r="F776" s="3169">
        <v>3681416</v>
      </c>
      <c r="G776" s="3252">
        <f t="shared" si="12"/>
        <v>25889.001406469764</v>
      </c>
    </row>
    <row r="777" spans="1:7">
      <c r="A777" s="2955">
        <v>776</v>
      </c>
      <c r="B777" s="2955" t="s">
        <v>3790</v>
      </c>
      <c r="C777" s="2955" t="s">
        <v>3791</v>
      </c>
      <c r="D777" s="2955" t="s">
        <v>3802</v>
      </c>
      <c r="E777" s="2955">
        <v>141.91</v>
      </c>
      <c r="F777" s="3169">
        <v>3702290</v>
      </c>
      <c r="G777" s="3252">
        <f t="shared" si="12"/>
        <v>26089.000070467198</v>
      </c>
    </row>
    <row r="778" spans="1:7">
      <c r="A778" s="2955">
        <v>777</v>
      </c>
      <c r="B778" s="2955" t="s">
        <v>3790</v>
      </c>
      <c r="C778" s="2955" t="s">
        <v>3791</v>
      </c>
      <c r="D778" s="2955" t="s">
        <v>3803</v>
      </c>
      <c r="E778" s="2955">
        <v>141.91</v>
      </c>
      <c r="F778" s="3169">
        <v>3730672</v>
      </c>
      <c r="G778" s="3252">
        <f t="shared" si="12"/>
        <v>26289.000070467198</v>
      </c>
    </row>
    <row r="779" spans="1:7">
      <c r="A779" s="2955">
        <v>778</v>
      </c>
      <c r="B779" s="2955" t="s">
        <v>3785</v>
      </c>
      <c r="C779" s="2955" t="s">
        <v>3786</v>
      </c>
      <c r="D779" s="2955" t="s">
        <v>3804</v>
      </c>
      <c r="E779" s="2955">
        <v>196.99</v>
      </c>
      <c r="F779" s="3169">
        <v>4314410</v>
      </c>
      <c r="G779" s="3252">
        <f t="shared" si="12"/>
        <v>21901.670135539873</v>
      </c>
    </row>
    <row r="780" spans="1:7">
      <c r="A780" s="2955">
        <v>779</v>
      </c>
      <c r="B780" s="2955" t="s">
        <v>3785</v>
      </c>
      <c r="C780" s="2955" t="s">
        <v>3786</v>
      </c>
      <c r="D780" s="2955" t="s">
        <v>3805</v>
      </c>
      <c r="E780" s="2955">
        <v>207.48</v>
      </c>
      <c r="F780" s="3169">
        <v>5371450</v>
      </c>
      <c r="G780" s="3252">
        <f t="shared" si="12"/>
        <v>25889.001349527665</v>
      </c>
    </row>
    <row r="781" spans="1:7">
      <c r="A781" s="2955">
        <v>780</v>
      </c>
      <c r="B781" s="2955" t="s">
        <v>3785</v>
      </c>
      <c r="C781" s="2955" t="s">
        <v>3786</v>
      </c>
      <c r="D781" s="2955" t="s">
        <v>3806</v>
      </c>
      <c r="E781" s="2955">
        <v>207.48</v>
      </c>
      <c r="F781" s="3169">
        <v>5412946</v>
      </c>
      <c r="G781" s="3252">
        <f t="shared" si="12"/>
        <v>26089.001349527665</v>
      </c>
    </row>
    <row r="782" spans="1:7">
      <c r="A782" s="2955">
        <v>781</v>
      </c>
      <c r="B782" s="2955" t="s">
        <v>3785</v>
      </c>
      <c r="C782" s="2955" t="s">
        <v>3786</v>
      </c>
      <c r="D782" s="2955" t="s">
        <v>3807</v>
      </c>
      <c r="E782" s="2955">
        <v>207.48</v>
      </c>
      <c r="F782" s="3169">
        <v>5454442</v>
      </c>
      <c r="G782" s="3252">
        <f t="shared" si="12"/>
        <v>26289.001349527665</v>
      </c>
    </row>
    <row r="783" spans="1:7">
      <c r="A783" s="2955">
        <v>782</v>
      </c>
      <c r="B783" s="2955" t="s">
        <v>3785</v>
      </c>
      <c r="C783" s="2955" t="s">
        <v>3786</v>
      </c>
      <c r="D783" s="2955" t="s">
        <v>3808</v>
      </c>
      <c r="E783" s="2955">
        <v>141.91</v>
      </c>
      <c r="F783" s="3169">
        <v>3702290</v>
      </c>
      <c r="G783" s="3252">
        <f t="shared" si="12"/>
        <v>26089.000070467198</v>
      </c>
    </row>
    <row r="784" spans="1:7">
      <c r="A784" s="2955">
        <v>783</v>
      </c>
      <c r="B784" s="2955" t="s">
        <v>3785</v>
      </c>
      <c r="C784" s="2955" t="s">
        <v>3786</v>
      </c>
      <c r="D784" s="2955" t="s">
        <v>3809</v>
      </c>
      <c r="E784" s="2955">
        <v>207.48</v>
      </c>
      <c r="F784" s="3169">
        <v>5495938</v>
      </c>
      <c r="G784" s="3252">
        <f t="shared" si="12"/>
        <v>26489.001349527665</v>
      </c>
    </row>
    <row r="785" spans="1:7">
      <c r="A785" s="2955">
        <v>784</v>
      </c>
      <c r="B785" s="2955" t="s">
        <v>3785</v>
      </c>
      <c r="C785" s="2955" t="s">
        <v>3786</v>
      </c>
      <c r="D785" s="2955" t="s">
        <v>3810</v>
      </c>
      <c r="E785" s="2955">
        <v>141.91</v>
      </c>
      <c r="F785" s="3169">
        <v>3730672</v>
      </c>
      <c r="G785" s="3252">
        <f t="shared" si="12"/>
        <v>26289.000070467198</v>
      </c>
    </row>
    <row r="786" spans="1:7">
      <c r="A786" s="2955">
        <v>785</v>
      </c>
      <c r="B786" s="2955" t="s">
        <v>3785</v>
      </c>
      <c r="C786" s="2955" t="s">
        <v>3786</v>
      </c>
      <c r="D786" s="2955" t="s">
        <v>3811</v>
      </c>
      <c r="E786" s="2955">
        <v>133.13</v>
      </c>
      <c r="F786" s="3169">
        <v>3406664</v>
      </c>
      <c r="G786" s="3252">
        <f t="shared" si="12"/>
        <v>25589.003229925638</v>
      </c>
    </row>
    <row r="787" spans="1:7">
      <c r="A787" s="2955">
        <v>786</v>
      </c>
      <c r="B787" s="2955" t="s">
        <v>3785</v>
      </c>
      <c r="C787" s="2955" t="s">
        <v>3786</v>
      </c>
      <c r="D787" s="2955" t="s">
        <v>3812</v>
      </c>
      <c r="E787" s="2955">
        <v>133.13</v>
      </c>
      <c r="F787" s="3169">
        <v>3380038</v>
      </c>
      <c r="G787" s="3252">
        <f t="shared" si="12"/>
        <v>25389.003229925638</v>
      </c>
    </row>
    <row r="788" spans="1:7">
      <c r="A788" s="2955">
        <v>787</v>
      </c>
      <c r="B788" s="2955" t="s">
        <v>3785</v>
      </c>
      <c r="C788" s="2955" t="s">
        <v>3786</v>
      </c>
      <c r="D788" s="2955" t="s">
        <v>3813</v>
      </c>
      <c r="E788" s="2955">
        <v>127.22</v>
      </c>
      <c r="F788" s="3169">
        <v>3229989</v>
      </c>
      <c r="G788" s="3252">
        <f t="shared" si="12"/>
        <v>25389.003301367709</v>
      </c>
    </row>
    <row r="789" spans="1:7">
      <c r="A789" s="2955">
        <v>788</v>
      </c>
      <c r="B789" s="2955" t="s">
        <v>3785</v>
      </c>
      <c r="C789" s="2955" t="s">
        <v>3786</v>
      </c>
      <c r="D789" s="2955" t="s">
        <v>3814</v>
      </c>
      <c r="E789" s="2955">
        <v>127.22</v>
      </c>
      <c r="F789" s="3169">
        <v>3204545</v>
      </c>
      <c r="G789" s="3252">
        <f t="shared" si="12"/>
        <v>25189.003301367709</v>
      </c>
    </row>
    <row r="790" spans="1:7">
      <c r="A790" s="2955">
        <v>789</v>
      </c>
      <c r="B790" s="2955" t="s">
        <v>3785</v>
      </c>
      <c r="C790" s="2955" t="s">
        <v>3786</v>
      </c>
      <c r="D790" s="2955" t="s">
        <v>3815</v>
      </c>
      <c r="E790" s="2955">
        <v>133.13</v>
      </c>
      <c r="F790" s="3169">
        <v>3433290</v>
      </c>
      <c r="G790" s="3252">
        <f t="shared" si="12"/>
        <v>25789.003229925638</v>
      </c>
    </row>
    <row r="791" spans="1:7">
      <c r="A791" s="2955">
        <v>790</v>
      </c>
      <c r="B791" s="2955" t="s">
        <v>3785</v>
      </c>
      <c r="C791" s="2955" t="s">
        <v>3786</v>
      </c>
      <c r="D791" s="2955" t="s">
        <v>3816</v>
      </c>
      <c r="E791" s="2955">
        <v>127.22</v>
      </c>
      <c r="F791" s="3169">
        <v>3255433</v>
      </c>
      <c r="G791" s="3252">
        <f t="shared" si="12"/>
        <v>25589.003301367709</v>
      </c>
    </row>
    <row r="792" spans="1:7">
      <c r="A792" s="2955">
        <v>791</v>
      </c>
      <c r="B792" s="2955" t="s">
        <v>3785</v>
      </c>
      <c r="C792" s="2955" t="s">
        <v>3786</v>
      </c>
      <c r="D792" s="2955" t="s">
        <v>3817</v>
      </c>
      <c r="E792" s="2955">
        <v>159.76</v>
      </c>
      <c r="F792" s="3169">
        <v>3742141</v>
      </c>
      <c r="G792" s="3252">
        <f t="shared" si="12"/>
        <v>23423.516524787181</v>
      </c>
    </row>
    <row r="793" spans="1:7">
      <c r="A793" s="2955">
        <v>792</v>
      </c>
      <c r="B793" s="2955" t="s">
        <v>3785</v>
      </c>
      <c r="C793" s="2955" t="s">
        <v>3786</v>
      </c>
      <c r="D793" s="2955" t="s">
        <v>3818</v>
      </c>
      <c r="E793" s="2955">
        <v>133.13</v>
      </c>
      <c r="F793" s="3169">
        <v>3380038</v>
      </c>
      <c r="G793" s="3252">
        <f t="shared" si="12"/>
        <v>25389.003229925638</v>
      </c>
    </row>
    <row r="794" spans="1:7">
      <c r="A794" s="2955">
        <v>793</v>
      </c>
      <c r="B794" s="2955" t="s">
        <v>3785</v>
      </c>
      <c r="C794" s="2955" t="s">
        <v>3786</v>
      </c>
      <c r="D794" s="2955" t="s">
        <v>3819</v>
      </c>
      <c r="E794" s="2955">
        <v>133.13</v>
      </c>
      <c r="F794" s="3169">
        <v>3406664</v>
      </c>
      <c r="G794" s="3252">
        <f t="shared" si="12"/>
        <v>25589.003229925638</v>
      </c>
    </row>
    <row r="795" spans="1:7">
      <c r="A795" s="2955">
        <v>794</v>
      </c>
      <c r="B795" s="2955" t="s">
        <v>3785</v>
      </c>
      <c r="C795" s="2955" t="s">
        <v>3786</v>
      </c>
      <c r="D795" s="2955" t="s">
        <v>3820</v>
      </c>
      <c r="E795" s="2955">
        <v>127.22</v>
      </c>
      <c r="F795" s="3169">
        <v>3179101</v>
      </c>
      <c r="G795" s="3252">
        <f t="shared" si="12"/>
        <v>24989.003301367709</v>
      </c>
    </row>
    <row r="796" spans="1:7">
      <c r="A796" s="2955">
        <v>795</v>
      </c>
      <c r="B796" s="2955" t="s">
        <v>3785</v>
      </c>
      <c r="C796" s="2955" t="s">
        <v>3786</v>
      </c>
      <c r="D796" s="2955" t="s">
        <v>3821</v>
      </c>
      <c r="E796" s="2955">
        <v>127.22</v>
      </c>
      <c r="F796" s="3169">
        <v>3255433</v>
      </c>
      <c r="G796" s="3252">
        <f t="shared" si="12"/>
        <v>25589.003301367709</v>
      </c>
    </row>
    <row r="797" spans="1:7">
      <c r="A797" s="2955">
        <v>796</v>
      </c>
      <c r="B797" s="2955" t="s">
        <v>3785</v>
      </c>
      <c r="C797" s="2955" t="s">
        <v>3786</v>
      </c>
      <c r="D797" s="2955" t="s">
        <v>3822</v>
      </c>
      <c r="E797" s="2955">
        <v>159.76</v>
      </c>
      <c r="F797" s="3169">
        <v>3715515</v>
      </c>
      <c r="G797" s="3252">
        <f t="shared" si="12"/>
        <v>23256.854031046572</v>
      </c>
    </row>
    <row r="798" spans="1:7">
      <c r="A798" s="2955">
        <v>797</v>
      </c>
      <c r="B798" s="2955" t="s">
        <v>3785</v>
      </c>
      <c r="C798" s="2955" t="s">
        <v>3786</v>
      </c>
      <c r="D798" s="2955" t="s">
        <v>3823</v>
      </c>
      <c r="E798" s="2955">
        <v>165.51</v>
      </c>
      <c r="F798" s="3169">
        <v>3661230</v>
      </c>
      <c r="G798" s="3252">
        <f t="shared" si="12"/>
        <v>22120.899039332973</v>
      </c>
    </row>
    <row r="799" spans="1:7">
      <c r="A799" s="2955">
        <v>798</v>
      </c>
      <c r="B799" s="2955" t="s">
        <v>3785</v>
      </c>
      <c r="C799" s="2955" t="s">
        <v>3786</v>
      </c>
      <c r="D799" s="2955" t="s">
        <v>3824</v>
      </c>
      <c r="E799" s="2955">
        <v>133.13</v>
      </c>
      <c r="F799" s="3169">
        <v>3398957</v>
      </c>
      <c r="G799" s="3252">
        <f t="shared" si="12"/>
        <v>25531.112446480885</v>
      </c>
    </row>
    <row r="800" spans="1:7">
      <c r="A800" s="2955">
        <v>799</v>
      </c>
      <c r="B800" s="2955" t="s">
        <v>3785</v>
      </c>
      <c r="C800" s="2955" t="s">
        <v>3786</v>
      </c>
      <c r="D800" s="2955" t="s">
        <v>3825</v>
      </c>
      <c r="E800" s="2955">
        <v>96.78</v>
      </c>
      <c r="F800" s="3169">
        <v>2505537</v>
      </c>
      <c r="G800" s="3252">
        <f t="shared" si="12"/>
        <v>25888.995660260385</v>
      </c>
    </row>
    <row r="801" spans="1:7">
      <c r="A801" s="2955">
        <v>800</v>
      </c>
      <c r="B801" s="2955" t="s">
        <v>3785</v>
      </c>
      <c r="C801" s="2955" t="s">
        <v>3786</v>
      </c>
      <c r="D801" s="2955" t="s">
        <v>3826</v>
      </c>
      <c r="E801" s="2955">
        <v>97.6</v>
      </c>
      <c r="F801" s="3169">
        <v>2468206</v>
      </c>
      <c r="G801" s="3252">
        <f t="shared" si="12"/>
        <v>25288.995901639344</v>
      </c>
    </row>
    <row r="802" spans="1:7">
      <c r="A802" s="2955">
        <v>801</v>
      </c>
      <c r="B802" s="2955" t="s">
        <v>3785</v>
      </c>
      <c r="C802" s="2955" t="s">
        <v>3786</v>
      </c>
      <c r="D802" s="2955" t="s">
        <v>3827</v>
      </c>
      <c r="E802" s="2955">
        <v>97.6</v>
      </c>
      <c r="F802" s="3169">
        <v>2468206</v>
      </c>
      <c r="G802" s="3252">
        <f t="shared" si="12"/>
        <v>25288.995901639344</v>
      </c>
    </row>
    <row r="803" spans="1:7">
      <c r="A803" s="2955">
        <v>802</v>
      </c>
      <c r="B803" s="2955" t="s">
        <v>3785</v>
      </c>
      <c r="C803" s="2955" t="s">
        <v>3786</v>
      </c>
      <c r="D803" s="2955" t="s">
        <v>3828</v>
      </c>
      <c r="E803" s="2955">
        <v>96.78</v>
      </c>
      <c r="F803" s="3169">
        <v>2389401</v>
      </c>
      <c r="G803" s="3252">
        <f t="shared" si="12"/>
        <v>24688.995660260385</v>
      </c>
    </row>
    <row r="804" spans="1:7">
      <c r="A804" s="2955">
        <v>803</v>
      </c>
      <c r="B804" s="2955" t="s">
        <v>3785</v>
      </c>
      <c r="C804" s="2955" t="s">
        <v>3786</v>
      </c>
      <c r="D804" s="2955" t="s">
        <v>3829</v>
      </c>
      <c r="E804" s="2955">
        <v>97.15</v>
      </c>
      <c r="F804" s="3169">
        <v>2398536</v>
      </c>
      <c r="G804" s="3252">
        <f t="shared" si="12"/>
        <v>24688.996397323725</v>
      </c>
    </row>
    <row r="805" spans="1:7">
      <c r="A805" s="2955">
        <v>804</v>
      </c>
      <c r="B805" s="2955" t="s">
        <v>3785</v>
      </c>
      <c r="C805" s="2955" t="s">
        <v>3786</v>
      </c>
      <c r="D805" s="2955" t="s">
        <v>3830</v>
      </c>
      <c r="E805" s="2955">
        <v>97.6</v>
      </c>
      <c r="F805" s="3169">
        <v>2448686</v>
      </c>
      <c r="G805" s="3252">
        <f t="shared" si="12"/>
        <v>25088.995901639344</v>
      </c>
    </row>
    <row r="806" spans="1:7">
      <c r="A806" s="2955">
        <v>805</v>
      </c>
      <c r="B806" s="2955" t="s">
        <v>3785</v>
      </c>
      <c r="C806" s="2955" t="s">
        <v>3786</v>
      </c>
      <c r="D806" s="2955" t="s">
        <v>3831</v>
      </c>
      <c r="E806" s="2955">
        <v>97.15</v>
      </c>
      <c r="F806" s="3169">
        <v>2417966</v>
      </c>
      <c r="G806" s="3252">
        <f t="shared" si="12"/>
        <v>24888.996397323725</v>
      </c>
    </row>
    <row r="807" spans="1:7">
      <c r="A807" s="2955">
        <v>806</v>
      </c>
      <c r="B807" s="2955" t="s">
        <v>3785</v>
      </c>
      <c r="C807" s="2955" t="s">
        <v>3786</v>
      </c>
      <c r="D807" s="2955" t="s">
        <v>3832</v>
      </c>
      <c r="E807" s="2955">
        <v>132.19</v>
      </c>
      <c r="F807" s="3169">
        <v>2696676</v>
      </c>
      <c r="G807" s="3252">
        <f t="shared" si="12"/>
        <v>20400</v>
      </c>
    </row>
    <row r="808" spans="1:7">
      <c r="A808" s="2955">
        <v>807</v>
      </c>
      <c r="B808" s="2955" t="s">
        <v>3785</v>
      </c>
      <c r="C808" s="2955" t="s">
        <v>3786</v>
      </c>
      <c r="D808" s="2955" t="s">
        <v>3833</v>
      </c>
      <c r="E808" s="2955">
        <v>126.32</v>
      </c>
      <c r="F808" s="3169">
        <v>2576928</v>
      </c>
      <c r="G808" s="3252">
        <f t="shared" si="12"/>
        <v>20400</v>
      </c>
    </row>
    <row r="809" spans="1:7">
      <c r="A809" s="2955">
        <v>808</v>
      </c>
      <c r="B809" s="2955" t="s">
        <v>3785</v>
      </c>
      <c r="C809" s="2955" t="s">
        <v>3786</v>
      </c>
      <c r="D809" s="2955" t="s">
        <v>3834</v>
      </c>
      <c r="E809" s="2955">
        <v>142.19999999999999</v>
      </c>
      <c r="F809" s="3169">
        <v>2900880</v>
      </c>
      <c r="G809" s="3252">
        <f t="shared" si="12"/>
        <v>20400</v>
      </c>
    </row>
    <row r="810" spans="1:7">
      <c r="A810" s="2955">
        <v>809</v>
      </c>
      <c r="B810" s="2955" t="s">
        <v>3785</v>
      </c>
      <c r="C810" s="2955" t="s">
        <v>3786</v>
      </c>
      <c r="D810" s="2955" t="s">
        <v>3835</v>
      </c>
      <c r="E810" s="2955">
        <v>141.91</v>
      </c>
      <c r="F810" s="3169">
        <v>2894964</v>
      </c>
      <c r="G810" s="3252">
        <f t="shared" si="12"/>
        <v>20400</v>
      </c>
    </row>
    <row r="811" spans="1:7">
      <c r="A811" s="2955">
        <v>810</v>
      </c>
      <c r="B811" s="2955" t="s">
        <v>3785</v>
      </c>
      <c r="C811" s="2955" t="s">
        <v>3786</v>
      </c>
      <c r="D811" s="2955" t="s">
        <v>3836</v>
      </c>
      <c r="E811" s="2955">
        <v>141.91</v>
      </c>
      <c r="F811" s="3169">
        <v>2894964</v>
      </c>
      <c r="G811" s="3252">
        <f t="shared" si="12"/>
        <v>20400</v>
      </c>
    </row>
    <row r="812" spans="1:7">
      <c r="A812" s="2955">
        <v>811</v>
      </c>
      <c r="B812" s="2955" t="s">
        <v>3785</v>
      </c>
      <c r="C812" s="2955" t="s">
        <v>3786</v>
      </c>
      <c r="D812" s="2955" t="s">
        <v>3837</v>
      </c>
      <c r="E812" s="2955">
        <v>207.48</v>
      </c>
      <c r="F812" s="3169">
        <v>4232592</v>
      </c>
      <c r="G812" s="3252">
        <f t="shared" si="12"/>
        <v>20400</v>
      </c>
    </row>
    <row r="813" spans="1:7">
      <c r="A813" s="2955">
        <v>812</v>
      </c>
      <c r="B813" s="2955" t="s">
        <v>3785</v>
      </c>
      <c r="C813" s="2955" t="s">
        <v>3786</v>
      </c>
      <c r="D813" s="2955" t="s">
        <v>3838</v>
      </c>
      <c r="E813" s="2955">
        <v>133.13</v>
      </c>
      <c r="F813" s="3169">
        <v>2715852</v>
      </c>
      <c r="G813" s="3252">
        <f t="shared" si="12"/>
        <v>20400</v>
      </c>
    </row>
    <row r="814" spans="1:7">
      <c r="A814" s="2955">
        <v>813</v>
      </c>
      <c r="B814" s="2955" t="s">
        <v>3785</v>
      </c>
      <c r="C814" s="2955" t="s">
        <v>3786</v>
      </c>
      <c r="D814" s="2955" t="s">
        <v>3839</v>
      </c>
      <c r="E814" s="2955">
        <v>127.22</v>
      </c>
      <c r="F814" s="3169">
        <v>2595288</v>
      </c>
      <c r="G814" s="3252">
        <f t="shared" si="12"/>
        <v>20400</v>
      </c>
    </row>
    <row r="815" spans="1:7">
      <c r="A815" s="2955">
        <v>814</v>
      </c>
      <c r="B815" s="2955" t="s">
        <v>3785</v>
      </c>
      <c r="C815" s="2955" t="s">
        <v>3786</v>
      </c>
      <c r="D815" s="2955" t="s">
        <v>3840</v>
      </c>
      <c r="E815" s="2955">
        <v>127.22</v>
      </c>
      <c r="F815" s="3169">
        <v>2595288</v>
      </c>
      <c r="G815" s="3252">
        <f t="shared" si="12"/>
        <v>20400</v>
      </c>
    </row>
    <row r="816" spans="1:7">
      <c r="A816" s="2955">
        <v>815</v>
      </c>
      <c r="B816" s="2955" t="s">
        <v>3785</v>
      </c>
      <c r="C816" s="2955" t="s">
        <v>3786</v>
      </c>
      <c r="D816" s="2955" t="s">
        <v>3841</v>
      </c>
      <c r="E816" s="2955">
        <v>133.13</v>
      </c>
      <c r="F816" s="3169">
        <v>2715852</v>
      </c>
      <c r="G816" s="3252">
        <f t="shared" si="12"/>
        <v>20400</v>
      </c>
    </row>
    <row r="817" spans="1:7">
      <c r="A817" s="2955">
        <v>816</v>
      </c>
      <c r="B817" s="2955" t="s">
        <v>3785</v>
      </c>
      <c r="C817" s="2955" t="s">
        <v>3786</v>
      </c>
      <c r="D817" s="2955" t="s">
        <v>3842</v>
      </c>
      <c r="E817" s="2955">
        <v>97.24</v>
      </c>
      <c r="F817" s="3169">
        <v>1983696</v>
      </c>
      <c r="G817" s="3252">
        <f t="shared" si="12"/>
        <v>20400</v>
      </c>
    </row>
    <row r="818" spans="1:7">
      <c r="A818" s="2955">
        <v>817</v>
      </c>
      <c r="B818" s="2955" t="s">
        <v>3785</v>
      </c>
      <c r="C818" s="2955" t="s">
        <v>3786</v>
      </c>
      <c r="D818" s="2955" t="s">
        <v>3843</v>
      </c>
      <c r="E818" s="2955">
        <v>96.43</v>
      </c>
      <c r="F818" s="3169">
        <v>1967172</v>
      </c>
      <c r="G818" s="3252">
        <f t="shared" si="12"/>
        <v>20400</v>
      </c>
    </row>
    <row r="819" spans="1:7">
      <c r="A819" s="2955">
        <v>818</v>
      </c>
      <c r="B819" s="2955" t="s">
        <v>3785</v>
      </c>
      <c r="C819" s="2955" t="s">
        <v>3786</v>
      </c>
      <c r="D819" s="2955" t="s">
        <v>3844</v>
      </c>
      <c r="E819" s="2955">
        <v>97.6</v>
      </c>
      <c r="F819" s="3169">
        <v>1991040</v>
      </c>
      <c r="G819" s="3252">
        <f t="shared" si="12"/>
        <v>20400</v>
      </c>
    </row>
    <row r="820" spans="1:7">
      <c r="A820" s="2955">
        <v>819</v>
      </c>
      <c r="B820" s="2955" t="s">
        <v>3785</v>
      </c>
      <c r="C820" s="2955" t="s">
        <v>3786</v>
      </c>
      <c r="D820" s="2955" t="s">
        <v>3845</v>
      </c>
      <c r="E820" s="2955">
        <v>97.24</v>
      </c>
      <c r="F820" s="3169">
        <v>1983696</v>
      </c>
      <c r="G820" s="3252">
        <f t="shared" si="12"/>
        <v>20400</v>
      </c>
    </row>
    <row r="821" spans="1:7">
      <c r="A821" s="2955">
        <v>820</v>
      </c>
      <c r="B821" s="2955" t="s">
        <v>3785</v>
      </c>
      <c r="C821" s="2955" t="s">
        <v>3786</v>
      </c>
      <c r="D821" s="2955" t="s">
        <v>3846</v>
      </c>
      <c r="E821" s="2955">
        <v>96.43</v>
      </c>
      <c r="F821" s="3169">
        <v>1967172</v>
      </c>
      <c r="G821" s="3252">
        <f t="shared" si="12"/>
        <v>20400</v>
      </c>
    </row>
    <row r="822" spans="1:7">
      <c r="A822" s="2955">
        <v>821</v>
      </c>
      <c r="B822" s="2955" t="s">
        <v>3785</v>
      </c>
      <c r="C822" s="2955" t="s">
        <v>3786</v>
      </c>
      <c r="D822" s="2955" t="s">
        <v>3847</v>
      </c>
      <c r="E822" s="2955">
        <v>96.8</v>
      </c>
      <c r="F822" s="3169">
        <v>1974720</v>
      </c>
      <c r="G822" s="3252">
        <f t="shared" si="12"/>
        <v>20400</v>
      </c>
    </row>
    <row r="823" spans="1:7">
      <c r="A823" s="2955">
        <v>822</v>
      </c>
      <c r="B823" s="2955" t="s">
        <v>3785</v>
      </c>
      <c r="C823" s="2955" t="s">
        <v>3786</v>
      </c>
      <c r="D823" s="2955" t="s">
        <v>3848</v>
      </c>
      <c r="E823" s="2955">
        <v>97.6</v>
      </c>
      <c r="F823" s="3169">
        <v>1991040</v>
      </c>
      <c r="G823" s="3252">
        <f t="shared" si="12"/>
        <v>20400</v>
      </c>
    </row>
    <row r="824" spans="1:7">
      <c r="A824" s="2955">
        <v>823</v>
      </c>
      <c r="B824" s="2955" t="s">
        <v>3785</v>
      </c>
      <c r="C824" s="2955" t="s">
        <v>3786</v>
      </c>
      <c r="D824" s="2955" t="s">
        <v>3849</v>
      </c>
      <c r="E824" s="2955">
        <v>96.78</v>
      </c>
      <c r="F824" s="3169">
        <v>1974312</v>
      </c>
      <c r="G824" s="3252">
        <f t="shared" si="12"/>
        <v>20400</v>
      </c>
    </row>
    <row r="825" spans="1:7">
      <c r="A825" s="2955">
        <v>824</v>
      </c>
      <c r="B825" s="2955" t="s">
        <v>3785</v>
      </c>
      <c r="C825" s="2955" t="s">
        <v>3786</v>
      </c>
      <c r="D825" s="2955" t="s">
        <v>3850</v>
      </c>
      <c r="E825" s="2955">
        <v>96.78</v>
      </c>
      <c r="F825" s="3169">
        <v>1974312</v>
      </c>
      <c r="G825" s="3252">
        <f t="shared" si="12"/>
        <v>20400</v>
      </c>
    </row>
    <row r="826" spans="1:7">
      <c r="A826" s="2955">
        <v>825</v>
      </c>
      <c r="B826" s="2955" t="s">
        <v>3785</v>
      </c>
      <c r="C826" s="2955" t="s">
        <v>3786</v>
      </c>
      <c r="D826" s="2955" t="s">
        <v>3851</v>
      </c>
      <c r="E826" s="2955">
        <v>97.15</v>
      </c>
      <c r="F826" s="3169">
        <v>1981860</v>
      </c>
      <c r="G826" s="3252">
        <f t="shared" si="12"/>
        <v>20400</v>
      </c>
    </row>
    <row r="827" spans="1:7">
      <c r="A827" s="2955">
        <v>826</v>
      </c>
      <c r="B827" s="2955" t="s">
        <v>3785</v>
      </c>
      <c r="C827" s="2955" t="s">
        <v>3786</v>
      </c>
      <c r="D827" s="2955" t="s">
        <v>3852</v>
      </c>
      <c r="E827" s="2955">
        <v>96.78</v>
      </c>
      <c r="F827" s="3169">
        <v>1974312</v>
      </c>
      <c r="G827" s="3252">
        <f t="shared" si="12"/>
        <v>20400</v>
      </c>
    </row>
    <row r="828" spans="1:7">
      <c r="A828" s="2955">
        <v>827</v>
      </c>
      <c r="B828" s="2955" t="s">
        <v>3785</v>
      </c>
      <c r="C828" s="2955" t="s">
        <v>3786</v>
      </c>
      <c r="D828" s="2955" t="s">
        <v>3853</v>
      </c>
      <c r="E828" s="2955">
        <v>97.15</v>
      </c>
      <c r="F828" s="3169">
        <v>1981860</v>
      </c>
      <c r="G828" s="3252">
        <f t="shared" si="12"/>
        <v>20400</v>
      </c>
    </row>
    <row r="829" spans="1:7">
      <c r="A829" s="2955">
        <v>828</v>
      </c>
      <c r="B829" s="2955" t="s">
        <v>3785</v>
      </c>
      <c r="C829" s="2955" t="s">
        <v>3786</v>
      </c>
      <c r="D829" s="2955" t="s">
        <v>3854</v>
      </c>
      <c r="E829" s="2955">
        <v>96.78</v>
      </c>
      <c r="F829" s="3169">
        <v>1974312</v>
      </c>
      <c r="G829" s="3252">
        <f t="shared" si="12"/>
        <v>20400</v>
      </c>
    </row>
    <row r="830" spans="1:7">
      <c r="A830" s="2955">
        <v>829</v>
      </c>
      <c r="B830" s="2955" t="s">
        <v>3785</v>
      </c>
      <c r="C830" s="2955" t="s">
        <v>3786</v>
      </c>
      <c r="D830" s="2955" t="s">
        <v>3855</v>
      </c>
      <c r="E830" s="2955">
        <v>97.15</v>
      </c>
      <c r="F830" s="3169">
        <v>1981860</v>
      </c>
      <c r="G830" s="3252">
        <f t="shared" si="12"/>
        <v>20400</v>
      </c>
    </row>
    <row r="831" spans="1:7">
      <c r="A831" s="2955">
        <v>830</v>
      </c>
      <c r="B831" s="2955" t="s">
        <v>3785</v>
      </c>
      <c r="C831" s="2955" t="s">
        <v>3786</v>
      </c>
      <c r="D831" s="2955" t="s">
        <v>3856</v>
      </c>
      <c r="E831" s="2955">
        <v>96.78</v>
      </c>
      <c r="F831" s="3169">
        <v>1974312</v>
      </c>
      <c r="G831" s="3252">
        <f t="shared" si="12"/>
        <v>20400</v>
      </c>
    </row>
    <row r="832" spans="1:7">
      <c r="A832" s="2955">
        <v>831</v>
      </c>
      <c r="B832" s="2955" t="s">
        <v>3785</v>
      </c>
      <c r="C832" s="2955" t="s">
        <v>3786</v>
      </c>
      <c r="D832" s="2955" t="s">
        <v>3857</v>
      </c>
      <c r="E832" s="2955">
        <v>96.43</v>
      </c>
      <c r="F832" s="3169">
        <v>1967172</v>
      </c>
      <c r="G832" s="3252">
        <f t="shared" si="12"/>
        <v>20400</v>
      </c>
    </row>
    <row r="833" spans="1:7">
      <c r="A833" s="2955">
        <v>832</v>
      </c>
      <c r="B833" s="2955" t="s">
        <v>3785</v>
      </c>
      <c r="C833" s="2955" t="s">
        <v>3786</v>
      </c>
      <c r="D833" s="2955" t="s">
        <v>3858</v>
      </c>
      <c r="E833" s="2955">
        <v>96.8</v>
      </c>
      <c r="F833" s="3169">
        <v>1974720</v>
      </c>
      <c r="G833" s="3252">
        <f t="shared" si="12"/>
        <v>20400</v>
      </c>
    </row>
    <row r="834" spans="1:7">
      <c r="A834" s="2955">
        <v>833</v>
      </c>
      <c r="B834" s="2955" t="s">
        <v>3785</v>
      </c>
      <c r="C834" s="2955" t="s">
        <v>3786</v>
      </c>
      <c r="D834" s="2955" t="s">
        <v>3859</v>
      </c>
      <c r="E834" s="2955">
        <v>96.43</v>
      </c>
      <c r="F834" s="3169">
        <v>1967172</v>
      </c>
      <c r="G834" s="3252">
        <f t="shared" si="12"/>
        <v>20400</v>
      </c>
    </row>
    <row r="835" spans="1:7">
      <c r="A835" s="2955">
        <v>834</v>
      </c>
      <c r="B835" s="2955" t="s">
        <v>3785</v>
      </c>
      <c r="C835" s="2955" t="s">
        <v>3786</v>
      </c>
      <c r="D835" s="2955" t="s">
        <v>3860</v>
      </c>
      <c r="E835" s="2955">
        <v>96.8</v>
      </c>
      <c r="F835" s="3169">
        <v>1974720</v>
      </c>
      <c r="G835" s="3252">
        <f t="shared" ref="G835:G893" si="13">F835/E835</f>
        <v>20400</v>
      </c>
    </row>
    <row r="836" spans="1:7">
      <c r="A836" s="2955">
        <v>835</v>
      </c>
      <c r="B836" s="2955" t="s">
        <v>3785</v>
      </c>
      <c r="C836" s="2955" t="s">
        <v>3786</v>
      </c>
      <c r="D836" s="2955" t="s">
        <v>3861</v>
      </c>
      <c r="E836" s="2955">
        <v>96.43</v>
      </c>
      <c r="F836" s="3169">
        <v>1967172</v>
      </c>
      <c r="G836" s="3252">
        <f t="shared" si="13"/>
        <v>20400</v>
      </c>
    </row>
    <row r="837" spans="1:7">
      <c r="A837" s="2955">
        <v>836</v>
      </c>
      <c r="B837" s="2955" t="s">
        <v>3785</v>
      </c>
      <c r="C837" s="2955" t="s">
        <v>3786</v>
      </c>
      <c r="D837" s="2955" t="s">
        <v>3862</v>
      </c>
      <c r="E837" s="2955">
        <v>97.6</v>
      </c>
      <c r="F837" s="3169">
        <v>2546286</v>
      </c>
      <c r="G837" s="3252">
        <f t="shared" si="13"/>
        <v>26088.995901639344</v>
      </c>
    </row>
    <row r="838" spans="1:7">
      <c r="A838" s="2955">
        <v>837</v>
      </c>
      <c r="B838" s="2955" t="s">
        <v>3785</v>
      </c>
      <c r="C838" s="2955" t="s">
        <v>3786</v>
      </c>
      <c r="D838" s="2955" t="s">
        <v>3863</v>
      </c>
      <c r="E838" s="2955">
        <v>97.15</v>
      </c>
      <c r="F838" s="3169">
        <v>2417966</v>
      </c>
      <c r="G838" s="3252">
        <f t="shared" si="13"/>
        <v>24888.996397323725</v>
      </c>
    </row>
    <row r="839" spans="1:7">
      <c r="A839" s="2955">
        <v>838</v>
      </c>
      <c r="B839" s="2955" t="s">
        <v>3790</v>
      </c>
      <c r="C839" s="2955" t="s">
        <v>3791</v>
      </c>
      <c r="D839" s="2955" t="s">
        <v>3864</v>
      </c>
      <c r="E839" s="2955">
        <v>97.96</v>
      </c>
      <c r="F839" s="3169">
        <v>2518043</v>
      </c>
      <c r="G839" s="3252">
        <f t="shared" si="13"/>
        <v>25704.808084932629</v>
      </c>
    </row>
    <row r="840" spans="1:7">
      <c r="A840" s="2955">
        <v>839</v>
      </c>
      <c r="B840" s="2955" t="s">
        <v>3790</v>
      </c>
      <c r="C840" s="2955" t="s">
        <v>3791</v>
      </c>
      <c r="D840" s="2955" t="s">
        <v>3865</v>
      </c>
      <c r="E840" s="2955">
        <v>96.78</v>
      </c>
      <c r="F840" s="3169">
        <v>2389401</v>
      </c>
      <c r="G840" s="3252">
        <f t="shared" si="13"/>
        <v>24688.995660260385</v>
      </c>
    </row>
    <row r="841" spans="1:7">
      <c r="A841" s="2955">
        <v>840</v>
      </c>
      <c r="B841" s="2955" t="s">
        <v>3790</v>
      </c>
      <c r="C841" s="2955" t="s">
        <v>3791</v>
      </c>
      <c r="D841" s="2955" t="s">
        <v>3866</v>
      </c>
      <c r="E841" s="2955">
        <v>97.15</v>
      </c>
      <c r="F841" s="3169">
        <v>2437396</v>
      </c>
      <c r="G841" s="3252">
        <f t="shared" si="13"/>
        <v>25088.996397323725</v>
      </c>
    </row>
    <row r="842" spans="1:7">
      <c r="A842" s="2955">
        <v>841</v>
      </c>
      <c r="B842" s="2955" t="s">
        <v>3790</v>
      </c>
      <c r="C842" s="2955" t="s">
        <v>3791</v>
      </c>
      <c r="D842" s="2955" t="s">
        <v>3867</v>
      </c>
      <c r="E842" s="2955">
        <v>97.15</v>
      </c>
      <c r="F842" s="3169">
        <v>2437396</v>
      </c>
      <c r="G842" s="3252">
        <f t="shared" si="13"/>
        <v>25088.996397323725</v>
      </c>
    </row>
    <row r="843" spans="1:7">
      <c r="A843" s="2955">
        <v>842</v>
      </c>
      <c r="B843" s="2955" t="s">
        <v>3790</v>
      </c>
      <c r="C843" s="2955" t="s">
        <v>3791</v>
      </c>
      <c r="D843" s="2955" t="s">
        <v>3868</v>
      </c>
      <c r="E843" s="2955">
        <v>140.43</v>
      </c>
      <c r="F843" s="3169">
        <v>2890716</v>
      </c>
      <c r="G843" s="3252">
        <f t="shared" si="13"/>
        <v>20584.746848963896</v>
      </c>
    </row>
    <row r="844" spans="1:7">
      <c r="A844" s="2955">
        <v>843</v>
      </c>
      <c r="B844" s="2955" t="s">
        <v>3790</v>
      </c>
      <c r="C844" s="2955" t="s">
        <v>3791</v>
      </c>
      <c r="D844" s="2955" t="s">
        <v>3869</v>
      </c>
      <c r="E844" s="2955">
        <v>97.24</v>
      </c>
      <c r="F844" s="3169">
        <v>2439654</v>
      </c>
      <c r="G844" s="3252">
        <f t="shared" si="13"/>
        <v>25088.996297819827</v>
      </c>
    </row>
    <row r="845" spans="1:7">
      <c r="A845" s="2955">
        <v>844</v>
      </c>
      <c r="B845" s="2955" t="s">
        <v>3790</v>
      </c>
      <c r="C845" s="2955" t="s">
        <v>3791</v>
      </c>
      <c r="D845" s="2955" t="s">
        <v>3870</v>
      </c>
      <c r="E845" s="2955">
        <v>97.24</v>
      </c>
      <c r="F845" s="3169">
        <v>2459102</v>
      </c>
      <c r="G845" s="3252">
        <f t="shared" si="13"/>
        <v>25288.996297819827</v>
      </c>
    </row>
    <row r="846" spans="1:7">
      <c r="A846" s="2955">
        <v>845</v>
      </c>
      <c r="B846" s="2955" t="s">
        <v>3790</v>
      </c>
      <c r="C846" s="2955" t="s">
        <v>3791</v>
      </c>
      <c r="D846" s="2955" t="s">
        <v>3871</v>
      </c>
      <c r="E846" s="2955">
        <v>96.43</v>
      </c>
      <c r="F846" s="3169">
        <v>2361474</v>
      </c>
      <c r="G846" s="3252">
        <f t="shared" si="13"/>
        <v>24488.997200041478</v>
      </c>
    </row>
    <row r="847" spans="1:7">
      <c r="A847" s="2955">
        <v>846</v>
      </c>
      <c r="B847" s="2955" t="s">
        <v>3790</v>
      </c>
      <c r="C847" s="2955" t="s">
        <v>3791</v>
      </c>
      <c r="D847" s="2955" t="s">
        <v>3872</v>
      </c>
      <c r="E847" s="2955">
        <v>96.43</v>
      </c>
      <c r="F847" s="3169">
        <v>2400046</v>
      </c>
      <c r="G847" s="3252">
        <f t="shared" si="13"/>
        <v>24888.997200041478</v>
      </c>
    </row>
    <row r="848" spans="1:7">
      <c r="A848" s="2955">
        <v>847</v>
      </c>
      <c r="B848" s="2955" t="s">
        <v>3790</v>
      </c>
      <c r="C848" s="2955" t="s">
        <v>3791</v>
      </c>
      <c r="D848" s="2955" t="s">
        <v>3873</v>
      </c>
      <c r="E848" s="2955">
        <v>96.43</v>
      </c>
      <c r="F848" s="3169">
        <v>2400046</v>
      </c>
      <c r="G848" s="3252">
        <f t="shared" si="13"/>
        <v>24888.997200041478</v>
      </c>
    </row>
    <row r="849" spans="1:7">
      <c r="A849" s="2955">
        <v>848</v>
      </c>
      <c r="B849" s="2955" t="s">
        <v>3790</v>
      </c>
      <c r="C849" s="2955" t="s">
        <v>3791</v>
      </c>
      <c r="D849" s="2955" t="s">
        <v>3874</v>
      </c>
      <c r="E849" s="2955">
        <v>96.8</v>
      </c>
      <c r="F849" s="3169">
        <v>2409255</v>
      </c>
      <c r="G849" s="3252">
        <f t="shared" si="13"/>
        <v>24888.997933884297</v>
      </c>
    </row>
    <row r="850" spans="1:7">
      <c r="A850" s="2955">
        <v>849</v>
      </c>
      <c r="B850" s="2955" t="s">
        <v>3790</v>
      </c>
      <c r="C850" s="2955" t="s">
        <v>3791</v>
      </c>
      <c r="D850" s="2955" t="s">
        <v>3875</v>
      </c>
      <c r="E850" s="2955">
        <v>96.43</v>
      </c>
      <c r="F850" s="3169">
        <v>2400046</v>
      </c>
      <c r="G850" s="3252">
        <f t="shared" si="13"/>
        <v>24888.997200041478</v>
      </c>
    </row>
    <row r="851" spans="1:7">
      <c r="A851" s="2955">
        <v>850</v>
      </c>
      <c r="B851" s="2955" t="s">
        <v>3785</v>
      </c>
      <c r="C851" s="2955" t="s">
        <v>3786</v>
      </c>
      <c r="D851" s="2955" t="s">
        <v>3876</v>
      </c>
      <c r="E851" s="2955">
        <v>96.43</v>
      </c>
      <c r="F851" s="3169">
        <v>2419332</v>
      </c>
      <c r="G851" s="3252">
        <f t="shared" si="13"/>
        <v>25088.997200041478</v>
      </c>
    </row>
    <row r="852" spans="1:7">
      <c r="A852" s="2955">
        <v>851</v>
      </c>
      <c r="B852" s="2955" t="s">
        <v>3785</v>
      </c>
      <c r="C852" s="2955" t="s">
        <v>3786</v>
      </c>
      <c r="D852" s="2955" t="s">
        <v>3877</v>
      </c>
      <c r="E852" s="2955">
        <v>96.8</v>
      </c>
      <c r="F852" s="3169">
        <v>2409255</v>
      </c>
      <c r="G852" s="3252">
        <f t="shared" si="13"/>
        <v>24888.997933884297</v>
      </c>
    </row>
    <row r="853" spans="1:7">
      <c r="A853" s="2955">
        <v>852</v>
      </c>
      <c r="B853" s="2955" t="s">
        <v>3785</v>
      </c>
      <c r="C853" s="2955" t="s">
        <v>3786</v>
      </c>
      <c r="D853" s="2955" t="s">
        <v>3878</v>
      </c>
      <c r="E853" s="2955">
        <v>96.43</v>
      </c>
      <c r="F853" s="3169">
        <v>2419332</v>
      </c>
      <c r="G853" s="3252">
        <f t="shared" si="13"/>
        <v>25088.997200041478</v>
      </c>
    </row>
    <row r="854" spans="1:7">
      <c r="A854" s="2955">
        <v>853</v>
      </c>
      <c r="B854" s="2955" t="s">
        <v>3785</v>
      </c>
      <c r="C854" s="2955" t="s">
        <v>3786</v>
      </c>
      <c r="D854" s="2955" t="s">
        <v>3879</v>
      </c>
      <c r="E854" s="2955">
        <v>96.78</v>
      </c>
      <c r="F854" s="3169">
        <v>2389401</v>
      </c>
      <c r="G854" s="3252">
        <f t="shared" si="13"/>
        <v>24688.995660260385</v>
      </c>
    </row>
    <row r="855" spans="1:7">
      <c r="A855" s="2955">
        <v>854</v>
      </c>
      <c r="B855" s="2955" t="s">
        <v>3785</v>
      </c>
      <c r="C855" s="2955" t="s">
        <v>3786</v>
      </c>
      <c r="D855" s="2955" t="s">
        <v>3880</v>
      </c>
      <c r="E855" s="2955">
        <v>96.8</v>
      </c>
      <c r="F855" s="3169">
        <v>2428615</v>
      </c>
      <c r="G855" s="3252">
        <f t="shared" si="13"/>
        <v>25088.997933884297</v>
      </c>
    </row>
    <row r="856" spans="1:7">
      <c r="A856" s="2955">
        <v>855</v>
      </c>
      <c r="B856" s="2955" t="s">
        <v>3785</v>
      </c>
      <c r="C856" s="2955" t="s">
        <v>3786</v>
      </c>
      <c r="D856" s="2955" t="s">
        <v>3881</v>
      </c>
      <c r="E856" s="2955">
        <v>96.43</v>
      </c>
      <c r="F856" s="3169">
        <v>2400046</v>
      </c>
      <c r="G856" s="3252">
        <f t="shared" si="13"/>
        <v>24888.997200041478</v>
      </c>
    </row>
    <row r="857" spans="1:7">
      <c r="A857" s="2955">
        <v>856</v>
      </c>
      <c r="B857" s="2955" t="s">
        <v>3785</v>
      </c>
      <c r="C857" s="2955" t="s">
        <v>3786</v>
      </c>
      <c r="D857" s="2955" t="s">
        <v>3882</v>
      </c>
      <c r="E857" s="2955">
        <v>140.25</v>
      </c>
      <c r="F857" s="3169">
        <v>2894170</v>
      </c>
      <c r="G857" s="3252">
        <f t="shared" si="13"/>
        <v>20635.793226381462</v>
      </c>
    </row>
    <row r="858" spans="1:7">
      <c r="A858" s="2955">
        <v>857</v>
      </c>
      <c r="B858" s="2955" t="s">
        <v>3785</v>
      </c>
      <c r="C858" s="2955" t="s">
        <v>3786</v>
      </c>
      <c r="D858" s="2955" t="s">
        <v>3883</v>
      </c>
      <c r="E858" s="2955">
        <v>165.51</v>
      </c>
      <c r="F858" s="3169">
        <v>3588372</v>
      </c>
      <c r="G858" s="3252">
        <f t="shared" si="13"/>
        <v>21680.696030451334</v>
      </c>
    </row>
    <row r="859" spans="1:7">
      <c r="A859" s="2955">
        <v>858</v>
      </c>
      <c r="B859" s="2955" t="s">
        <v>3785</v>
      </c>
      <c r="C859" s="2955" t="s">
        <v>3786</v>
      </c>
      <c r="D859" s="2955" t="s">
        <v>3884</v>
      </c>
      <c r="E859" s="2955">
        <v>96.8</v>
      </c>
      <c r="F859" s="3169">
        <v>2428615</v>
      </c>
      <c r="G859" s="3252">
        <f t="shared" si="13"/>
        <v>25088.997933884297</v>
      </c>
    </row>
    <row r="860" spans="1:7">
      <c r="A860" s="2955">
        <v>859</v>
      </c>
      <c r="B860" s="2955" t="s">
        <v>3785</v>
      </c>
      <c r="C860" s="2955" t="s">
        <v>3786</v>
      </c>
      <c r="D860" s="2955" t="s">
        <v>3885</v>
      </c>
      <c r="E860" s="2955">
        <v>139.74</v>
      </c>
      <c r="F860" s="3169">
        <v>2883693</v>
      </c>
      <c r="G860" s="3252">
        <f t="shared" si="13"/>
        <v>20636.131386861314</v>
      </c>
    </row>
    <row r="861" spans="1:7">
      <c r="A861" s="2955">
        <v>860</v>
      </c>
      <c r="B861" s="2955" t="s">
        <v>3785</v>
      </c>
      <c r="C861" s="2955" t="s">
        <v>3786</v>
      </c>
      <c r="D861" s="2955" t="s">
        <v>3886</v>
      </c>
      <c r="E861" s="2955">
        <v>97.97</v>
      </c>
      <c r="F861" s="3169">
        <v>2499095</v>
      </c>
      <c r="G861" s="3252">
        <f t="shared" si="13"/>
        <v>25508.77819740737</v>
      </c>
    </row>
    <row r="862" spans="1:7">
      <c r="A862" s="2955">
        <v>861</v>
      </c>
      <c r="B862" s="2955" t="s">
        <v>3785</v>
      </c>
      <c r="C862" s="2955" t="s">
        <v>3786</v>
      </c>
      <c r="D862" s="2955" t="s">
        <v>3887</v>
      </c>
      <c r="E862" s="2955">
        <v>96.8</v>
      </c>
      <c r="F862" s="3169">
        <v>2370535</v>
      </c>
      <c r="G862" s="3252">
        <f t="shared" si="13"/>
        <v>24488.997933884297</v>
      </c>
    </row>
    <row r="863" spans="1:7">
      <c r="A863" s="2955">
        <v>862</v>
      </c>
      <c r="B863" s="2955" t="s">
        <v>3785</v>
      </c>
      <c r="C863" s="2955" t="s">
        <v>3786</v>
      </c>
      <c r="D863" s="2955" t="s">
        <v>3888</v>
      </c>
      <c r="E863" s="2955">
        <v>96.43</v>
      </c>
      <c r="F863" s="3169">
        <v>2419332</v>
      </c>
      <c r="G863" s="3252">
        <f t="shared" si="13"/>
        <v>25088.997200041478</v>
      </c>
    </row>
    <row r="864" spans="1:7">
      <c r="A864" s="2955">
        <v>863</v>
      </c>
      <c r="B864" s="2955" t="s">
        <v>3785</v>
      </c>
      <c r="C864" s="2955" t="s">
        <v>3786</v>
      </c>
      <c r="D864" s="2955" t="s">
        <v>3889</v>
      </c>
      <c r="E864" s="2955">
        <v>142.19999999999999</v>
      </c>
      <c r="F864" s="3169">
        <v>3738296</v>
      </c>
      <c r="G864" s="3252">
        <f t="shared" si="13"/>
        <v>26289.001406469764</v>
      </c>
    </row>
    <row r="865" spans="1:7">
      <c r="A865" s="2955">
        <v>864</v>
      </c>
      <c r="B865" s="2955" t="s">
        <v>3785</v>
      </c>
      <c r="C865" s="2955" t="s">
        <v>3786</v>
      </c>
      <c r="D865" s="2955" t="s">
        <v>3890</v>
      </c>
      <c r="E865" s="2955">
        <v>127.22</v>
      </c>
      <c r="F865" s="3169">
        <v>3229989</v>
      </c>
      <c r="G865" s="3252">
        <f t="shared" si="13"/>
        <v>25389.003301367709</v>
      </c>
    </row>
    <row r="866" spans="1:7">
      <c r="A866" s="2955">
        <v>865</v>
      </c>
      <c r="B866" s="2955" t="s">
        <v>3785</v>
      </c>
      <c r="C866" s="2955" t="s">
        <v>3786</v>
      </c>
      <c r="D866" s="2955" t="s">
        <v>3891</v>
      </c>
      <c r="E866" s="2955">
        <v>139.91</v>
      </c>
      <c r="F866" s="3169">
        <v>2880133</v>
      </c>
      <c r="G866" s="3252">
        <f t="shared" si="13"/>
        <v>20585.612179258096</v>
      </c>
    </row>
    <row r="867" spans="1:7">
      <c r="A867" s="2955">
        <v>866</v>
      </c>
      <c r="B867" s="2955" t="s">
        <v>3785</v>
      </c>
      <c r="C867" s="2955" t="s">
        <v>3786</v>
      </c>
      <c r="D867" s="2955" t="s">
        <v>3892</v>
      </c>
      <c r="E867" s="2955">
        <v>96.43</v>
      </c>
      <c r="F867" s="3169">
        <v>2361474</v>
      </c>
      <c r="G867" s="3252">
        <f t="shared" si="13"/>
        <v>24488.997200041478</v>
      </c>
    </row>
    <row r="868" spans="1:7">
      <c r="A868" s="2955">
        <v>867</v>
      </c>
      <c r="B868" s="2955" t="s">
        <v>3785</v>
      </c>
      <c r="C868" s="2955" t="s">
        <v>3786</v>
      </c>
      <c r="D868" s="2955" t="s">
        <v>3893</v>
      </c>
      <c r="E868" s="2955">
        <v>96.43</v>
      </c>
      <c r="F868" s="3169">
        <v>2419332</v>
      </c>
      <c r="G868" s="3252">
        <f t="shared" si="13"/>
        <v>25088.997200041478</v>
      </c>
    </row>
    <row r="869" spans="1:7">
      <c r="A869" s="2955">
        <v>868</v>
      </c>
      <c r="B869" s="2955" t="s">
        <v>3785</v>
      </c>
      <c r="C869" s="2955" t="s">
        <v>3786</v>
      </c>
      <c r="D869" s="2955" t="s">
        <v>3894</v>
      </c>
      <c r="E869" s="2955">
        <v>142.19999999999999</v>
      </c>
      <c r="F869" s="3169">
        <v>3580282</v>
      </c>
      <c r="G869" s="3252">
        <f t="shared" si="13"/>
        <v>25177.791842475388</v>
      </c>
    </row>
    <row r="870" spans="1:7">
      <c r="A870" s="2955">
        <v>869</v>
      </c>
      <c r="B870" s="2955" t="s">
        <v>3785</v>
      </c>
      <c r="C870" s="2955" t="s">
        <v>3786</v>
      </c>
      <c r="D870" s="2955" t="s">
        <v>3895</v>
      </c>
      <c r="E870" s="2955">
        <v>132.19</v>
      </c>
      <c r="F870" s="3169">
        <v>3422267</v>
      </c>
      <c r="G870" s="3252">
        <f t="shared" si="13"/>
        <v>25889.000680838188</v>
      </c>
    </row>
    <row r="871" spans="1:7">
      <c r="A871" s="2955">
        <v>870</v>
      </c>
      <c r="B871" s="2955" t="s">
        <v>3785</v>
      </c>
      <c r="C871" s="2955" t="s">
        <v>3786</v>
      </c>
      <c r="D871" s="2955" t="s">
        <v>3896</v>
      </c>
      <c r="E871" s="2955">
        <v>197</v>
      </c>
      <c r="F871" s="3169">
        <v>4314516</v>
      </c>
      <c r="G871" s="3252">
        <f t="shared" si="13"/>
        <v>21901.096446700507</v>
      </c>
    </row>
    <row r="872" spans="1:7">
      <c r="A872" s="2955">
        <v>871</v>
      </c>
      <c r="B872" s="2955" t="s">
        <v>3785</v>
      </c>
      <c r="C872" s="2955" t="s">
        <v>3786</v>
      </c>
      <c r="D872" s="2955" t="s">
        <v>3897</v>
      </c>
      <c r="E872" s="2955">
        <v>96.78</v>
      </c>
      <c r="F872" s="3169">
        <v>2505537</v>
      </c>
      <c r="G872" s="3252">
        <f t="shared" si="13"/>
        <v>25888.995660260385</v>
      </c>
    </row>
    <row r="873" spans="1:7">
      <c r="A873" s="2955">
        <v>872</v>
      </c>
      <c r="B873" s="2955" t="s">
        <v>3785</v>
      </c>
      <c r="C873" s="2955" t="s">
        <v>3786</v>
      </c>
      <c r="D873" s="2955" t="s">
        <v>3898</v>
      </c>
      <c r="E873" s="2955">
        <v>96.78</v>
      </c>
      <c r="F873" s="3169">
        <v>2428113</v>
      </c>
      <c r="G873" s="3252">
        <f t="shared" si="13"/>
        <v>25088.995660260385</v>
      </c>
    </row>
    <row r="874" spans="1:7">
      <c r="A874" s="2955">
        <v>873</v>
      </c>
      <c r="B874" s="2955" t="s">
        <v>3785</v>
      </c>
      <c r="C874" s="2955" t="s">
        <v>3786</v>
      </c>
      <c r="D874" s="2955" t="s">
        <v>3899</v>
      </c>
      <c r="E874" s="2955">
        <v>132.19</v>
      </c>
      <c r="F874" s="3169">
        <v>3475143</v>
      </c>
      <c r="G874" s="3252">
        <f t="shared" si="13"/>
        <v>26289.000680838188</v>
      </c>
    </row>
    <row r="875" spans="1:7">
      <c r="A875" s="2955">
        <v>874</v>
      </c>
      <c r="B875" s="2955" t="s">
        <v>3785</v>
      </c>
      <c r="C875" s="2955" t="s">
        <v>3786</v>
      </c>
      <c r="D875" s="2955" t="s">
        <v>3900</v>
      </c>
      <c r="E875" s="2955">
        <v>96.78</v>
      </c>
      <c r="F875" s="3169">
        <v>2389401</v>
      </c>
      <c r="G875" s="3252">
        <f t="shared" si="13"/>
        <v>24688.995660260385</v>
      </c>
    </row>
    <row r="876" spans="1:7">
      <c r="A876" s="2955">
        <v>875</v>
      </c>
      <c r="B876" s="2955" t="s">
        <v>3785</v>
      </c>
      <c r="C876" s="2955" t="s">
        <v>3786</v>
      </c>
      <c r="D876" s="2955" t="s">
        <v>3901</v>
      </c>
      <c r="E876" s="2955">
        <v>96.78</v>
      </c>
      <c r="F876" s="3169">
        <v>2428113</v>
      </c>
      <c r="G876" s="3252">
        <f t="shared" si="13"/>
        <v>25088.995660260385</v>
      </c>
    </row>
    <row r="877" spans="1:7">
      <c r="A877" s="2955">
        <v>876</v>
      </c>
      <c r="B877" s="2955" t="s">
        <v>3785</v>
      </c>
      <c r="C877" s="2955" t="s">
        <v>3786</v>
      </c>
      <c r="D877" s="2955" t="s">
        <v>3902</v>
      </c>
      <c r="E877" s="2955">
        <v>96.43</v>
      </c>
      <c r="F877" s="3169">
        <v>2380760</v>
      </c>
      <c r="G877" s="3252">
        <f t="shared" si="13"/>
        <v>24688.997200041478</v>
      </c>
    </row>
    <row r="878" spans="1:7">
      <c r="A878" s="2955">
        <v>877</v>
      </c>
      <c r="B878" s="2955" t="s">
        <v>3785</v>
      </c>
      <c r="C878" s="2955" t="s">
        <v>3786</v>
      </c>
      <c r="D878" s="2955" t="s">
        <v>3903</v>
      </c>
      <c r="E878" s="2955">
        <v>96.78</v>
      </c>
      <c r="F878" s="3169">
        <v>2408757</v>
      </c>
      <c r="G878" s="3252">
        <f t="shared" si="13"/>
        <v>24888.995660260385</v>
      </c>
    </row>
    <row r="879" spans="1:7">
      <c r="A879" s="2955">
        <v>878</v>
      </c>
      <c r="B879" s="2955" t="s">
        <v>3785</v>
      </c>
      <c r="C879" s="2955" t="s">
        <v>3786</v>
      </c>
      <c r="D879" s="2955" t="s">
        <v>3904</v>
      </c>
      <c r="E879" s="2955">
        <v>97.6</v>
      </c>
      <c r="F879" s="3169">
        <v>2546286</v>
      </c>
      <c r="G879" s="3252">
        <f t="shared" si="13"/>
        <v>26088.995901639344</v>
      </c>
    </row>
    <row r="880" spans="1:7">
      <c r="A880" s="2955">
        <v>879</v>
      </c>
      <c r="B880" s="2955" t="s">
        <v>3785</v>
      </c>
      <c r="C880" s="2955" t="s">
        <v>3786</v>
      </c>
      <c r="D880" s="2955" t="s">
        <v>3905</v>
      </c>
      <c r="E880" s="2955">
        <v>96.43</v>
      </c>
      <c r="F880" s="3169">
        <v>2361474</v>
      </c>
      <c r="G880" s="3252">
        <f t="shared" si="13"/>
        <v>24488.997200041478</v>
      </c>
    </row>
    <row r="881" spans="1:7">
      <c r="A881" s="2955">
        <v>880</v>
      </c>
      <c r="B881" s="2955" t="s">
        <v>3785</v>
      </c>
      <c r="C881" s="2955" t="s">
        <v>3786</v>
      </c>
      <c r="D881" s="2955" t="s">
        <v>3906</v>
      </c>
      <c r="E881" s="2955">
        <v>96.43</v>
      </c>
      <c r="F881" s="3169">
        <v>2477190</v>
      </c>
      <c r="G881" s="3252">
        <f t="shared" si="13"/>
        <v>25688.997200041478</v>
      </c>
    </row>
    <row r="882" spans="1:7">
      <c r="A882" s="2955">
        <v>881</v>
      </c>
      <c r="B882" s="2955" t="s">
        <v>3785</v>
      </c>
      <c r="C882" s="2955" t="s">
        <v>3786</v>
      </c>
      <c r="D882" s="2955" t="s">
        <v>3907</v>
      </c>
      <c r="E882" s="2955">
        <v>142.19999999999999</v>
      </c>
      <c r="F882" s="3169">
        <v>3636030</v>
      </c>
      <c r="G882" s="3252">
        <f t="shared" si="13"/>
        <v>25569.831223628695</v>
      </c>
    </row>
    <row r="883" spans="1:7">
      <c r="A883" s="2955">
        <v>882</v>
      </c>
      <c r="B883" s="2955" t="s">
        <v>3785</v>
      </c>
      <c r="C883" s="2955" t="s">
        <v>3786</v>
      </c>
      <c r="D883" s="2955" t="s">
        <v>3908</v>
      </c>
      <c r="E883" s="2955">
        <v>133.13</v>
      </c>
      <c r="F883" s="3169">
        <v>3459916</v>
      </c>
      <c r="G883" s="3252">
        <f t="shared" si="13"/>
        <v>25989.003229925638</v>
      </c>
    </row>
    <row r="884" spans="1:7">
      <c r="A884" s="2955">
        <v>883</v>
      </c>
      <c r="B884" s="2955" t="s">
        <v>3785</v>
      </c>
      <c r="C884" s="2955" t="s">
        <v>3786</v>
      </c>
      <c r="D884" s="2955" t="s">
        <v>3909</v>
      </c>
      <c r="E884" s="2955">
        <v>96.78</v>
      </c>
      <c r="F884" s="3169">
        <v>2408757</v>
      </c>
      <c r="G884" s="3252">
        <f t="shared" si="13"/>
        <v>24888.995660260385</v>
      </c>
    </row>
    <row r="885" spans="1:7">
      <c r="A885" s="2955">
        <v>884</v>
      </c>
      <c r="B885" s="2955" t="s">
        <v>3785</v>
      </c>
      <c r="C885" s="2955" t="s">
        <v>3786</v>
      </c>
      <c r="D885" s="2955" t="s">
        <v>3910</v>
      </c>
      <c r="E885" s="2955">
        <v>96.78</v>
      </c>
      <c r="F885" s="3169">
        <v>2408757</v>
      </c>
      <c r="G885" s="3252">
        <f t="shared" si="13"/>
        <v>24888.995660260385</v>
      </c>
    </row>
    <row r="886" spans="1:7">
      <c r="A886" s="2955">
        <v>885</v>
      </c>
      <c r="B886" s="2955" t="s">
        <v>3785</v>
      </c>
      <c r="C886" s="2955" t="s">
        <v>3786</v>
      </c>
      <c r="D886" s="2955" t="s">
        <v>3911</v>
      </c>
      <c r="E886" s="2955">
        <v>141.91</v>
      </c>
      <c r="F886" s="3169">
        <v>3645526</v>
      </c>
      <c r="G886" s="3252">
        <f t="shared" si="13"/>
        <v>25689.000070467198</v>
      </c>
    </row>
    <row r="887" spans="1:7">
      <c r="A887" s="2955">
        <v>886</v>
      </c>
      <c r="B887" s="2955" t="s">
        <v>3785</v>
      </c>
      <c r="C887" s="2955" t="s">
        <v>3786</v>
      </c>
      <c r="D887" s="2955" t="s">
        <v>3912</v>
      </c>
      <c r="E887" s="2955">
        <v>189.43</v>
      </c>
      <c r="F887" s="3169">
        <v>4238840</v>
      </c>
      <c r="G887" s="3252">
        <f t="shared" si="13"/>
        <v>22376.814654489783</v>
      </c>
    </row>
    <row r="888" spans="1:7">
      <c r="A888" s="2955">
        <v>887</v>
      </c>
      <c r="B888" s="2955" t="s">
        <v>3785</v>
      </c>
      <c r="C888" s="2955" t="s">
        <v>3786</v>
      </c>
      <c r="D888" s="2955" t="s">
        <v>3913</v>
      </c>
      <c r="E888" s="2955">
        <v>96.43</v>
      </c>
      <c r="F888" s="3169">
        <v>2400046</v>
      </c>
      <c r="G888" s="3252">
        <f t="shared" si="13"/>
        <v>24888.997200041478</v>
      </c>
    </row>
    <row r="889" spans="1:7">
      <c r="A889" s="2955">
        <v>888</v>
      </c>
      <c r="B889" s="2955" t="s">
        <v>3785</v>
      </c>
      <c r="C889" s="2955" t="s">
        <v>3786</v>
      </c>
      <c r="D889" s="2955" t="s">
        <v>3914</v>
      </c>
      <c r="E889" s="2955">
        <v>96.43</v>
      </c>
      <c r="F889" s="3169">
        <v>2477190</v>
      </c>
      <c r="G889" s="3252">
        <f t="shared" si="13"/>
        <v>25688.997200041478</v>
      </c>
    </row>
    <row r="890" spans="1:7">
      <c r="A890" s="2955">
        <v>889</v>
      </c>
      <c r="B890" s="2955" t="s">
        <v>3785</v>
      </c>
      <c r="C890" s="2955" t="s">
        <v>3786</v>
      </c>
      <c r="D890" s="2955" t="s">
        <v>3915</v>
      </c>
      <c r="E890" s="2955">
        <v>97.15</v>
      </c>
      <c r="F890" s="3169">
        <v>2398536</v>
      </c>
      <c r="G890" s="3252">
        <f t="shared" si="13"/>
        <v>24688.996397323725</v>
      </c>
    </row>
    <row r="891" spans="1:7">
      <c r="A891" s="2955">
        <v>890</v>
      </c>
      <c r="B891" s="2955" t="s">
        <v>3785</v>
      </c>
      <c r="C891" s="2955" t="s">
        <v>3786</v>
      </c>
      <c r="D891" s="2955" t="s">
        <v>3916</v>
      </c>
      <c r="E891" s="2955">
        <v>96.78</v>
      </c>
      <c r="F891" s="3169">
        <v>2389401</v>
      </c>
      <c r="G891" s="3252">
        <f t="shared" si="13"/>
        <v>24688.995660260385</v>
      </c>
    </row>
    <row r="892" spans="1:7">
      <c r="A892" s="2955">
        <v>891</v>
      </c>
      <c r="B892" s="2955" t="s">
        <v>3785</v>
      </c>
      <c r="C892" s="2955" t="s">
        <v>3786</v>
      </c>
      <c r="D892" s="2955" t="s">
        <v>3917</v>
      </c>
      <c r="E892" s="2955">
        <v>96.8</v>
      </c>
      <c r="F892" s="3169">
        <v>2370535</v>
      </c>
      <c r="G892" s="3252">
        <f t="shared" si="13"/>
        <v>24488.997933884297</v>
      </c>
    </row>
    <row r="893" spans="1:7">
      <c r="A893" s="2955">
        <v>892</v>
      </c>
      <c r="B893" s="2955" t="s">
        <v>3785</v>
      </c>
      <c r="C893" s="2955" t="s">
        <v>3786</v>
      </c>
      <c r="D893" s="2955" t="s">
        <v>3918</v>
      </c>
      <c r="E893" s="2955">
        <v>98.34</v>
      </c>
      <c r="F893" s="3169">
        <v>2527728</v>
      </c>
      <c r="G893" s="3252">
        <f t="shared" si="13"/>
        <v>25703.965832824892</v>
      </c>
    </row>
  </sheetData>
  <autoFilter ref="D1:D893"/>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workbookViewId="0">
      <selection activeCell="M32" sqref="M32"/>
    </sheetView>
  </sheetViews>
  <sheetFormatPr defaultRowHeight="13.5"/>
  <cols>
    <col min="2" max="3" width="10.5" bestFit="1" customWidth="1"/>
    <col min="5" max="5" width="12.25" customWidth="1"/>
    <col min="6" max="6" width="10.5" bestFit="1" customWidth="1"/>
    <col min="8" max="8" width="14" customWidth="1"/>
    <col min="9" max="9" width="9.375" customWidth="1"/>
    <col min="11" max="11" width="15.125" customWidth="1"/>
    <col min="12" max="12" width="10.5" bestFit="1" customWidth="1"/>
    <col min="13" max="13" width="10.625" customWidth="1"/>
  </cols>
  <sheetData>
    <row r="1" spans="1:12">
      <c r="A1" s="3170" t="s">
        <v>3921</v>
      </c>
    </row>
    <row r="2" spans="1:12">
      <c r="A2" s="3170" t="s">
        <v>3920</v>
      </c>
      <c r="B2" s="3172">
        <f>Sheet3!A100</f>
        <v>10888.850000000008</v>
      </c>
      <c r="C2" s="3170" t="s">
        <v>3935</v>
      </c>
      <c r="E2" s="3170" t="s">
        <v>3956</v>
      </c>
      <c r="F2">
        <f>B2+B5+B6+B8+B9+B10</f>
        <v>66899.330000000031</v>
      </c>
      <c r="H2" s="3176" t="s">
        <v>3989</v>
      </c>
      <c r="I2" s="3177">
        <f>13033.24-I3-I4-B2</f>
        <v>720.049999999992</v>
      </c>
      <c r="K2" s="3206" t="s">
        <v>3997</v>
      </c>
      <c r="L2" s="3207">
        <f>5069.6-L3-L4-B12</f>
        <v>1348.8299999999977</v>
      </c>
    </row>
    <row r="3" spans="1:12">
      <c r="A3" s="3170" t="s">
        <v>3922</v>
      </c>
      <c r="B3" s="3172">
        <f>Sheet3!B50</f>
        <v>6763.6599999999971</v>
      </c>
      <c r="C3" s="3170" t="s">
        <v>3936</v>
      </c>
      <c r="E3" s="3170" t="s">
        <v>3957</v>
      </c>
      <c r="F3">
        <f>B3+B4+B7</f>
        <v>22565.489999999994</v>
      </c>
      <c r="H3" s="3176" t="s">
        <v>3970</v>
      </c>
      <c r="I3" s="3178">
        <f>59.45+106.92+118.06+106.92+59.45+89.58+124.35+167.51+221.68+154.54+124.35+89.58</f>
        <v>1422.3899999999999</v>
      </c>
      <c r="K3" s="3206" t="s">
        <v>3986</v>
      </c>
      <c r="L3" s="3208">
        <f>12.34+12.34</f>
        <v>24.68</v>
      </c>
    </row>
    <row r="4" spans="1:12">
      <c r="A4" s="3170" t="s">
        <v>3923</v>
      </c>
      <c r="B4" s="3172">
        <f>Sheet3!C57</f>
        <v>7698.5499999999975</v>
      </c>
      <c r="C4" s="3170" t="s">
        <v>3937</v>
      </c>
      <c r="E4" s="3170" t="s">
        <v>3958</v>
      </c>
      <c r="F4">
        <f>B12+B13+B14+B15</f>
        <v>15291.59</v>
      </c>
      <c r="H4" s="3176" t="s">
        <v>3971</v>
      </c>
      <c r="I4" s="3178">
        <v>1.95</v>
      </c>
      <c r="K4" s="3206" t="s">
        <v>3987</v>
      </c>
      <c r="L4" s="3208">
        <f>3.15+2+2+2+2+2+3.15</f>
        <v>16.3</v>
      </c>
    </row>
    <row r="5" spans="1:12">
      <c r="A5" s="3170" t="s">
        <v>3924</v>
      </c>
      <c r="B5" s="3172">
        <f>Sheet3!D110</f>
        <v>11981.859999999999</v>
      </c>
      <c r="C5" s="3170" t="s">
        <v>3935</v>
      </c>
      <c r="H5" s="3179" t="s">
        <v>3990</v>
      </c>
      <c r="I5" s="3180">
        <f>8029.34-I6-I7-B3</f>
        <v>0</v>
      </c>
      <c r="K5" s="3193" t="s">
        <v>4001</v>
      </c>
      <c r="L5" s="3194">
        <f>5040.77-L6</f>
        <v>5024.47</v>
      </c>
    </row>
    <row r="6" spans="1:12">
      <c r="A6" s="3170" t="s">
        <v>3925</v>
      </c>
      <c r="B6" s="3172">
        <f>Sheet3!E118</f>
        <v>12951.459999999995</v>
      </c>
      <c r="C6" s="3170" t="s">
        <v>3935</v>
      </c>
      <c r="H6" s="3179" t="s">
        <v>3972</v>
      </c>
      <c r="I6" s="3181">
        <f>97.59+201.55+197.1+112.49+112.49+197.1+201.55+97.59</f>
        <v>1217.46</v>
      </c>
      <c r="K6" s="3193" t="s">
        <v>3988</v>
      </c>
      <c r="L6" s="3194">
        <f>3.15+2+2+2+2+2+3.15</f>
        <v>16.3</v>
      </c>
    </row>
    <row r="7" spans="1:12">
      <c r="A7" s="3170" t="s">
        <v>3926</v>
      </c>
      <c r="B7" s="3172">
        <f>Sheet3!F60</f>
        <v>8103.2799999999979</v>
      </c>
      <c r="C7" s="3170" t="s">
        <v>3938</v>
      </c>
      <c r="E7" s="3170" t="s">
        <v>4035</v>
      </c>
      <c r="F7" s="3172">
        <f>I2+I10+I12+I14+I18+I22</f>
        <v>3730.9799999999577</v>
      </c>
      <c r="H7" s="3179" t="s">
        <v>3973</v>
      </c>
      <c r="I7" s="3181">
        <f>1.38+0.58+0.58+29.28+8.2+8.2</f>
        <v>48.22</v>
      </c>
      <c r="K7" s="3209" t="s">
        <v>3998</v>
      </c>
      <c r="L7" s="3210">
        <f>5993.66-L8-B13</f>
        <v>1733.17</v>
      </c>
    </row>
    <row r="8" spans="1:12">
      <c r="A8" s="3170" t="s">
        <v>3927</v>
      </c>
      <c r="B8" s="3172">
        <f>Sheet3!G83</f>
        <v>9025.6700000000073</v>
      </c>
      <c r="C8" s="3170" t="s">
        <v>3935</v>
      </c>
      <c r="E8" s="3170" t="s">
        <v>4036</v>
      </c>
      <c r="F8" s="3172">
        <f>I5+I8</f>
        <v>932.57000000000244</v>
      </c>
      <c r="H8" s="3182" t="s">
        <v>3991</v>
      </c>
      <c r="I8" s="3183">
        <f>8418.72*2-I9-B4-B7</f>
        <v>932.57000000000244</v>
      </c>
      <c r="K8" s="3209" t="s">
        <v>3999</v>
      </c>
      <c r="L8" s="3211">
        <f>3.15+2+2+2+2+2+3.15</f>
        <v>16.3</v>
      </c>
    </row>
    <row r="9" spans="1:12">
      <c r="A9" s="3170" t="s">
        <v>3928</v>
      </c>
      <c r="B9" s="3172">
        <f>Sheet3!H96</f>
        <v>10426.530000000006</v>
      </c>
      <c r="C9" s="3170" t="s">
        <v>3935</v>
      </c>
      <c r="E9" s="3170" t="s">
        <v>4037</v>
      </c>
      <c r="F9" s="3172">
        <f>L2+L5+L7+L9+L11+L13+L15+L17+L19+L21+L23+L25+L27+L29+L31+L33+L35+L36-已售!M1</f>
        <v>60493.289999999986</v>
      </c>
      <c r="H9" s="3182" t="s">
        <v>3981</v>
      </c>
      <c r="I9" s="3183">
        <f>(2.1+0.82+0.82+2.1+8.2+8.2+29.28)*2</f>
        <v>103.03999999999999</v>
      </c>
      <c r="K9" s="3212" t="s">
        <v>4000</v>
      </c>
      <c r="L9" s="3213">
        <f>6475.52-L10</f>
        <v>6463.8600000000006</v>
      </c>
    </row>
    <row r="10" spans="1:12">
      <c r="A10" s="3170" t="s">
        <v>3929</v>
      </c>
      <c r="B10" s="3172">
        <f>Sheet3!I106</f>
        <v>11624.960000000021</v>
      </c>
      <c r="C10" s="3170" t="s">
        <v>3939</v>
      </c>
      <c r="E10" s="3170" t="s">
        <v>4038</v>
      </c>
      <c r="F10">
        <f>I27+I28+I29</f>
        <v>5230</v>
      </c>
      <c r="H10" s="3187" t="s">
        <v>3992</v>
      </c>
      <c r="I10" s="3188">
        <f>13029.73-I11-B5</f>
        <v>969.60000000000036</v>
      </c>
      <c r="K10" s="3212" t="s">
        <v>4002</v>
      </c>
      <c r="L10" s="3213">
        <f>2.07+2.07+2.07+2.07+3.38</f>
        <v>11.66</v>
      </c>
    </row>
    <row r="11" spans="1:12">
      <c r="A11" s="3170" t="s">
        <v>3930</v>
      </c>
      <c r="B11" s="3172"/>
      <c r="E11" s="3170" t="s">
        <v>4039</v>
      </c>
      <c r="F11">
        <f>I4+I7+I9+I11+I13+I16+I20+I24+I26+L4+L6+L8+L10+L12+L14+L16+L18+L20+L22+L24+L26+L28+L30+L32+L34+L37</f>
        <v>1161.1899999999996</v>
      </c>
      <c r="H11" s="3187" t="s">
        <v>3982</v>
      </c>
      <c r="I11" s="3189">
        <f>1.95+76.32</f>
        <v>78.27</v>
      </c>
      <c r="K11" s="3198" t="s">
        <v>4003</v>
      </c>
      <c r="L11" s="3203">
        <f>3258.18*2-L12</f>
        <v>6508.08</v>
      </c>
    </row>
    <row r="12" spans="1:12">
      <c r="A12" s="3170" t="s">
        <v>3932</v>
      </c>
      <c r="B12" s="3172">
        <f>Sheet3!J39</f>
        <v>3679.7900000000022</v>
      </c>
      <c r="C12" s="3170" t="s">
        <v>3940</v>
      </c>
      <c r="E12" s="3170" t="s">
        <v>4040</v>
      </c>
      <c r="F12">
        <f>I17+I21+I25</f>
        <v>2293.63</v>
      </c>
      <c r="H12" s="3190" t="s">
        <v>3993</v>
      </c>
      <c r="I12" s="3191">
        <f>12953.41-I13-B6</f>
        <v>0</v>
      </c>
      <c r="K12" s="3198" t="s">
        <v>4004</v>
      </c>
      <c r="L12" s="3203">
        <f>(2.07+2.07)*2</f>
        <v>8.2799999999999994</v>
      </c>
    </row>
    <row r="13" spans="1:12">
      <c r="A13" s="3170" t="s">
        <v>3950</v>
      </c>
      <c r="B13" s="3172">
        <f>Sheet3!K45</f>
        <v>4244.1899999999996</v>
      </c>
      <c r="C13" s="3170" t="s">
        <v>3940</v>
      </c>
      <c r="E13" s="3170" t="s">
        <v>4041</v>
      </c>
      <c r="F13">
        <f>I30</f>
        <v>71600</v>
      </c>
      <c r="H13" s="3190" t="s">
        <v>3983</v>
      </c>
      <c r="I13" s="3192">
        <v>1.95</v>
      </c>
      <c r="K13" s="3204" t="s">
        <v>4005</v>
      </c>
      <c r="L13" s="3205">
        <f>1993.22-L14</f>
        <v>1984.71</v>
      </c>
    </row>
    <row r="14" spans="1:12">
      <c r="A14" s="3170" t="s">
        <v>3933</v>
      </c>
      <c r="B14" s="3172">
        <f>Sheet3!L23</f>
        <v>2866.47</v>
      </c>
      <c r="C14" s="3170" t="s">
        <v>3940</v>
      </c>
      <c r="E14" s="3170" t="s">
        <v>4045</v>
      </c>
      <c r="F14">
        <f>I3+I6+I15+I19+I23+L3</f>
        <v>4866.7</v>
      </c>
      <c r="H14" s="3195" t="s">
        <v>3994</v>
      </c>
      <c r="I14" s="3196">
        <f>11542.93-I15-I16-I17-B8</f>
        <v>820.299999999992</v>
      </c>
      <c r="K14" s="3204" t="s">
        <v>4006</v>
      </c>
      <c r="L14" s="3205">
        <f>2.07+3.06+3.38</f>
        <v>8.51</v>
      </c>
    </row>
    <row r="15" spans="1:12">
      <c r="A15" s="3170" t="s">
        <v>3934</v>
      </c>
      <c r="B15" s="3172">
        <f>Sheet3!M31</f>
        <v>4501.1399999999994</v>
      </c>
      <c r="C15" s="3170" t="s">
        <v>3940</v>
      </c>
      <c r="E15" s="3170" t="s">
        <v>4224</v>
      </c>
      <c r="F15">
        <v>14892</v>
      </c>
      <c r="H15" s="3195" t="s">
        <v>3974</v>
      </c>
      <c r="I15" s="3197">
        <f>107.48+146.24+54.12+102.24+88.05+89.97+96.73+53.63+99.22+173.73+105.19</f>
        <v>1116.6000000000001</v>
      </c>
      <c r="K15" s="3170" t="s">
        <v>4007</v>
      </c>
      <c r="L15">
        <f>1993.22-L16</f>
        <v>1984.71</v>
      </c>
    </row>
    <row r="16" spans="1:12">
      <c r="A16" s="3170"/>
      <c r="H16" s="3195" t="s">
        <v>3975</v>
      </c>
      <c r="I16" s="3197">
        <f>1.95</f>
        <v>1.95</v>
      </c>
      <c r="K16" s="3170" t="s">
        <v>4008</v>
      </c>
      <c r="L16">
        <f>3.38+3.06+2.07</f>
        <v>8.51</v>
      </c>
    </row>
    <row r="17" spans="1:14">
      <c r="H17" s="3195" t="s">
        <v>3984</v>
      </c>
      <c r="I17" s="3197">
        <f>52.47+525.94</f>
        <v>578.41000000000008</v>
      </c>
      <c r="K17" s="3170" t="s">
        <v>4009</v>
      </c>
      <c r="L17">
        <f>3261.56*2-L18-B14</f>
        <v>3641.61</v>
      </c>
      <c r="M17" s="3170" t="s">
        <v>4067</v>
      </c>
      <c r="N17" s="3172">
        <f>3261.56-B14</f>
        <v>395.09000000000015</v>
      </c>
    </row>
    <row r="18" spans="1:14">
      <c r="A18" s="3170"/>
      <c r="H18" s="3199" t="s">
        <v>3995</v>
      </c>
      <c r="I18" s="3200">
        <f>12869.22-I19-I20-I21-B9</f>
        <v>1221.0299999999934</v>
      </c>
      <c r="K18" s="3170" t="s">
        <v>4010</v>
      </c>
      <c r="L18">
        <f>(2.07+2.07+3.38)*2</f>
        <v>15.04</v>
      </c>
    </row>
    <row r="19" spans="1:14">
      <c r="H19" s="3199" t="s">
        <v>3976</v>
      </c>
      <c r="I19" s="3201">
        <f>22.59+199.99+45.7+124.8+54.58</f>
        <v>447.66</v>
      </c>
      <c r="K19" s="3170" t="s">
        <v>4011</v>
      </c>
      <c r="L19" s="3172">
        <f>5639.94-L20-B15</f>
        <v>1126.1300000000001</v>
      </c>
    </row>
    <row r="20" spans="1:14">
      <c r="E20" s="3172"/>
      <c r="H20" s="3199" t="s">
        <v>3977</v>
      </c>
      <c r="I20" s="3201">
        <f>46.41+0.88+0.88+1.95</f>
        <v>50.120000000000005</v>
      </c>
      <c r="K20" s="3170" t="s">
        <v>4012</v>
      </c>
      <c r="L20">
        <f>3.38+1.92+1.9+2.07+3.4</f>
        <v>12.67</v>
      </c>
    </row>
    <row r="21" spans="1:14">
      <c r="H21" s="3199" t="s">
        <v>3985</v>
      </c>
      <c r="I21" s="3201">
        <f>188.76+535.12</f>
        <v>723.88</v>
      </c>
      <c r="K21" s="3170" t="s">
        <v>4013</v>
      </c>
      <c r="L21">
        <f>5636.54*2-L22</f>
        <v>11254.539999999999</v>
      </c>
    </row>
    <row r="22" spans="1:14">
      <c r="B22" s="3170" t="s">
        <v>4337</v>
      </c>
      <c r="D22" s="3170" t="s">
        <v>4338</v>
      </c>
      <c r="E22" s="3170"/>
      <c r="F22" s="3170" t="s">
        <v>4339</v>
      </c>
      <c r="G22" s="3170" t="s">
        <v>4340</v>
      </c>
      <c r="H22" s="3184" t="s">
        <v>3996</v>
      </c>
      <c r="I22" s="3185">
        <f>13359.43-I23-I24-I25-B10</f>
        <v>-2.0008883439004421E-11</v>
      </c>
      <c r="K22" s="3170" t="s">
        <v>4014</v>
      </c>
      <c r="L22">
        <f>(3.38+1.92+1.9+2.07)*2</f>
        <v>18.54</v>
      </c>
    </row>
    <row r="23" spans="1:14">
      <c r="A23" s="3170" t="s">
        <v>4336</v>
      </c>
      <c r="B23">
        <v>201</v>
      </c>
      <c r="C23">
        <v>105.19</v>
      </c>
      <c r="D23">
        <v>101</v>
      </c>
      <c r="E23">
        <v>107.48</v>
      </c>
      <c r="F23">
        <f>ROUND((E23+E24+E25+E26+E27+E28+E29+E30)/2+C24+C25,2)</f>
        <v>559.53</v>
      </c>
      <c r="G23">
        <f>ROUND((E23+E24+E25+E26+E27+E28+E29+E30)/2+C23,2)</f>
        <v>556.97</v>
      </c>
      <c r="H23" s="3184" t="s">
        <v>3978</v>
      </c>
      <c r="I23" s="3186">
        <f>52.83+181.83+44.21+245.36+45.77+67.91</f>
        <v>637.91</v>
      </c>
      <c r="K23" s="3170" t="s">
        <v>4015</v>
      </c>
      <c r="L23">
        <f>7474.38-L24</f>
        <v>7471</v>
      </c>
    </row>
    <row r="24" spans="1:14">
      <c r="B24">
        <v>103</v>
      </c>
      <c r="C24">
        <v>54.12</v>
      </c>
      <c r="D24">
        <v>102</v>
      </c>
      <c r="E24">
        <v>146.24</v>
      </c>
      <c r="F24" s="3172"/>
      <c r="H24" s="3184" t="s">
        <v>3979</v>
      </c>
      <c r="I24" s="3186">
        <f>0.88+2.49+2.07+94.88+0.88+2.07+1.95</f>
        <v>105.21999999999998</v>
      </c>
      <c r="K24" s="3170" t="s">
        <v>4016</v>
      </c>
      <c r="L24">
        <f>3.38</f>
        <v>3.38</v>
      </c>
    </row>
    <row r="25" spans="1:14">
      <c r="B25">
        <v>112</v>
      </c>
      <c r="C25">
        <v>53.63</v>
      </c>
      <c r="D25">
        <v>104</v>
      </c>
      <c r="E25">
        <v>102.24</v>
      </c>
      <c r="H25" s="3184" t="s">
        <v>3980</v>
      </c>
      <c r="I25" s="3184">
        <f>322.41+212.96+455.97</f>
        <v>991.34</v>
      </c>
      <c r="K25" s="3170" t="s">
        <v>4017</v>
      </c>
      <c r="L25">
        <f>5439.37-L26</f>
        <v>5428.09</v>
      </c>
    </row>
    <row r="26" spans="1:14">
      <c r="B26" s="3170"/>
      <c r="D26">
        <v>105</v>
      </c>
      <c r="E26">
        <v>88.05</v>
      </c>
      <c r="H26" s="3198" t="s">
        <v>4027</v>
      </c>
      <c r="I26" s="3203">
        <v>388</v>
      </c>
      <c r="K26" s="3170" t="s">
        <v>4018</v>
      </c>
      <c r="L26">
        <f>2.79+1.9+1.9+1.9+2.79</f>
        <v>11.280000000000001</v>
      </c>
    </row>
    <row r="27" spans="1:14">
      <c r="D27">
        <v>109</v>
      </c>
      <c r="E27">
        <v>89.87</v>
      </c>
      <c r="F27" s="3172"/>
      <c r="H27" s="3184" t="s">
        <v>4028</v>
      </c>
      <c r="I27" s="3203">
        <v>1000</v>
      </c>
      <c r="K27" s="3170" t="s">
        <v>4019</v>
      </c>
      <c r="L27">
        <f>6011.98-L28</f>
        <v>5999.65</v>
      </c>
    </row>
    <row r="28" spans="1:14">
      <c r="D28">
        <v>111</v>
      </c>
      <c r="E28">
        <v>96.73</v>
      </c>
      <c r="H28" s="3184" t="s">
        <v>4029</v>
      </c>
      <c r="I28" s="3203">
        <v>1500</v>
      </c>
      <c r="K28" s="3170" t="s">
        <v>4020</v>
      </c>
      <c r="L28">
        <f>3.06+2.07+2.07+2.07+3.06</f>
        <v>12.33</v>
      </c>
    </row>
    <row r="29" spans="1:14" ht="40.5">
      <c r="D29">
        <v>113</v>
      </c>
      <c r="E29">
        <v>99.22</v>
      </c>
      <c r="H29" s="3214" t="s">
        <v>4030</v>
      </c>
      <c r="I29" s="3203">
        <v>2730</v>
      </c>
      <c r="K29" s="3170" t="s">
        <v>4021</v>
      </c>
      <c r="L29">
        <f>3999.42-L30</f>
        <v>3992.2200000000003</v>
      </c>
    </row>
    <row r="30" spans="1:14">
      <c r="D30">
        <v>114</v>
      </c>
      <c r="E30">
        <v>173.73</v>
      </c>
      <c r="H30" s="3184" t="s">
        <v>4031</v>
      </c>
      <c r="I30" s="3203">
        <v>71600</v>
      </c>
      <c r="K30" s="3170" t="s">
        <v>4022</v>
      </c>
      <c r="L30">
        <f>2.07+2.07+3.06</f>
        <v>7.1999999999999993</v>
      </c>
    </row>
    <row r="31" spans="1:14">
      <c r="A31" s="3170" t="s">
        <v>4341</v>
      </c>
      <c r="B31" s="3170" t="s">
        <v>4337</v>
      </c>
      <c r="D31" s="3170" t="s">
        <v>4338</v>
      </c>
      <c r="E31" s="3170"/>
      <c r="F31" s="3170" t="s">
        <v>4339</v>
      </c>
      <c r="G31" s="3170" t="s">
        <v>4340</v>
      </c>
      <c r="H31" s="3246"/>
      <c r="K31" s="3170" t="s">
        <v>4023</v>
      </c>
      <c r="L31">
        <f>4172.35-L32</f>
        <v>4162.4800000000005</v>
      </c>
    </row>
    <row r="32" spans="1:14">
      <c r="B32">
        <v>102</v>
      </c>
      <c r="C32">
        <v>22.59</v>
      </c>
      <c r="D32" s="3170">
        <v>103</v>
      </c>
      <c r="E32" s="3170">
        <v>199.99</v>
      </c>
      <c r="F32">
        <f>ROUND((E32+E33)/2+C32+C33+C34,2)</f>
        <v>285.27</v>
      </c>
      <c r="G32">
        <f>ROUND((E32+E33)/2,2)</f>
        <v>162.4</v>
      </c>
      <c r="H32" s="3202"/>
      <c r="I32" s="3246"/>
      <c r="K32" s="3170" t="s">
        <v>4024</v>
      </c>
      <c r="L32">
        <f>3.15+1.19+1.19+1.19+3.15</f>
        <v>9.8699999999999992</v>
      </c>
    </row>
    <row r="33" spans="1:12">
      <c r="B33">
        <v>104</v>
      </c>
      <c r="C33">
        <v>45.7</v>
      </c>
      <c r="D33" s="3170">
        <v>105</v>
      </c>
      <c r="E33" s="3170">
        <v>124.8</v>
      </c>
      <c r="H33" s="3246"/>
      <c r="I33" s="3202"/>
      <c r="K33" s="3170" t="s">
        <v>4025</v>
      </c>
      <c r="L33">
        <f>4223.05-L34</f>
        <v>4210.75</v>
      </c>
    </row>
    <row r="34" spans="1:12">
      <c r="B34">
        <v>106</v>
      </c>
      <c r="C34">
        <v>54.58</v>
      </c>
      <c r="H34" s="3172"/>
      <c r="K34" s="3170" t="s">
        <v>4026</v>
      </c>
      <c r="L34">
        <f>3.15+2+2+2+3.15</f>
        <v>12.3</v>
      </c>
    </row>
    <row r="35" spans="1:12">
      <c r="A35" s="3170" t="s">
        <v>4342</v>
      </c>
      <c r="B35" s="3170" t="s">
        <v>4337</v>
      </c>
      <c r="D35" s="3170" t="s">
        <v>4338</v>
      </c>
      <c r="E35" s="3170"/>
      <c r="F35" s="3170" t="s">
        <v>4339</v>
      </c>
      <c r="G35" s="3170" t="s">
        <v>4340</v>
      </c>
      <c r="K35" s="3170" t="s">
        <v>4033</v>
      </c>
      <c r="L35">
        <v>5491.54</v>
      </c>
    </row>
    <row r="36" spans="1:12">
      <c r="B36" s="3170">
        <v>102</v>
      </c>
      <c r="C36">
        <v>52.83</v>
      </c>
      <c r="D36">
        <v>103</v>
      </c>
      <c r="E36">
        <v>181.83</v>
      </c>
      <c r="F36">
        <f>ROUND(G36+C36+C37+C38+C39,2)</f>
        <v>424.32</v>
      </c>
      <c r="G36">
        <f>ROUND((E36+E37)/2,2)</f>
        <v>213.6</v>
      </c>
      <c r="K36" s="3170" t="s">
        <v>4034</v>
      </c>
      <c r="L36">
        <v>2815.36</v>
      </c>
    </row>
    <row r="37" spans="1:12">
      <c r="B37" s="3170">
        <v>104</v>
      </c>
      <c r="C37">
        <v>44.21</v>
      </c>
      <c r="D37">
        <v>105</v>
      </c>
      <c r="E37">
        <v>245.36</v>
      </c>
      <c r="H37" s="3172"/>
      <c r="K37" s="3170" t="s">
        <v>4032</v>
      </c>
      <c r="L37">
        <f>194</f>
        <v>194</v>
      </c>
    </row>
    <row r="38" spans="1:12">
      <c r="B38" s="3170">
        <v>106</v>
      </c>
      <c r="C38">
        <v>45.77</v>
      </c>
      <c r="L38" s="3172"/>
    </row>
    <row r="39" spans="1:12">
      <c r="B39" s="3170">
        <v>107</v>
      </c>
      <c r="C39">
        <v>67.91</v>
      </c>
    </row>
    <row r="40" spans="1:12">
      <c r="A40" s="3170" t="s">
        <v>4343</v>
      </c>
      <c r="B40" s="3170" t="s">
        <v>4344</v>
      </c>
      <c r="K40" s="3172"/>
    </row>
    <row r="41" spans="1:12">
      <c r="B41">
        <f>L3</f>
        <v>24.68</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workbookViewId="0">
      <selection sqref="A1:XFD1048576"/>
    </sheetView>
  </sheetViews>
  <sheetFormatPr defaultRowHeight="13.5"/>
  <sheetData>
    <row r="1" spans="1:13">
      <c r="A1" s="3173" t="s">
        <v>3920</v>
      </c>
      <c r="B1" s="3173" t="s">
        <v>3959</v>
      </c>
      <c r="C1" s="3173" t="s">
        <v>3960</v>
      </c>
      <c r="D1" s="3173" t="s">
        <v>3961</v>
      </c>
      <c r="E1" s="3173" t="s">
        <v>3962</v>
      </c>
      <c r="F1" s="3173" t="s">
        <v>3963</v>
      </c>
      <c r="G1" s="3173" t="s">
        <v>3964</v>
      </c>
      <c r="H1" s="3173" t="s">
        <v>3965</v>
      </c>
      <c r="I1" s="3173" t="s">
        <v>3966</v>
      </c>
      <c r="J1" s="3170" t="s">
        <v>3931</v>
      </c>
      <c r="K1" s="3170" t="s">
        <v>3967</v>
      </c>
      <c r="L1" s="3170" t="s">
        <v>3968</v>
      </c>
      <c r="M1" s="3170" t="s">
        <v>3969</v>
      </c>
    </row>
    <row r="2" spans="1:13">
      <c r="A2" s="2955">
        <v>99.39</v>
      </c>
      <c r="B2" s="2955">
        <v>131.91999999999999</v>
      </c>
      <c r="C2" s="2955">
        <v>131.96</v>
      </c>
      <c r="D2" s="2955">
        <v>99.55</v>
      </c>
      <c r="E2" s="2955">
        <v>123.53</v>
      </c>
      <c r="F2" s="2955">
        <v>131.96</v>
      </c>
      <c r="G2" s="2955">
        <v>125.33</v>
      </c>
      <c r="H2" s="2955">
        <v>125.54</v>
      </c>
      <c r="I2" s="2955">
        <v>99.53</v>
      </c>
      <c r="J2" s="2955">
        <v>96.78</v>
      </c>
      <c r="K2" s="2955">
        <v>96.43</v>
      </c>
      <c r="L2" s="2955">
        <v>133.13</v>
      </c>
      <c r="M2" s="2955">
        <v>126.32</v>
      </c>
    </row>
    <row r="3" spans="1:13">
      <c r="A3" s="2955">
        <v>99.39</v>
      </c>
      <c r="B3" s="2955">
        <v>233.88</v>
      </c>
      <c r="C3" s="2955">
        <v>134.91</v>
      </c>
      <c r="D3" s="2955">
        <v>125.31</v>
      </c>
      <c r="E3" s="2955">
        <v>99.55</v>
      </c>
      <c r="F3" s="2955">
        <v>134.91</v>
      </c>
      <c r="G3" s="2955">
        <v>99.56</v>
      </c>
      <c r="H3" s="2955">
        <v>125.54</v>
      </c>
      <c r="I3" s="2955">
        <v>123.51</v>
      </c>
      <c r="J3" s="2955">
        <v>97.6</v>
      </c>
      <c r="K3" s="2955">
        <v>97.24</v>
      </c>
      <c r="L3" s="2955">
        <v>133.13</v>
      </c>
      <c r="M3" s="2955">
        <v>126.32</v>
      </c>
    </row>
    <row r="4" spans="1:13">
      <c r="A4" s="2955">
        <v>123.34</v>
      </c>
      <c r="B4" s="2955">
        <v>131.91999999999999</v>
      </c>
      <c r="C4" s="2955">
        <v>134.91</v>
      </c>
      <c r="D4" s="2955">
        <v>99.55</v>
      </c>
      <c r="E4" s="2955">
        <v>123.53</v>
      </c>
      <c r="F4" s="2955">
        <v>213.45</v>
      </c>
      <c r="G4" s="2955">
        <v>123.54</v>
      </c>
      <c r="H4" s="2955">
        <v>99.72</v>
      </c>
      <c r="I4" s="2955">
        <v>123.51</v>
      </c>
      <c r="J4" s="2955">
        <v>97.6</v>
      </c>
      <c r="K4" s="2955">
        <v>97.24</v>
      </c>
      <c r="L4" s="2955">
        <v>127.22</v>
      </c>
      <c r="M4" s="2955">
        <v>132.19</v>
      </c>
    </row>
    <row r="5" spans="1:13">
      <c r="A5" s="2955">
        <v>99.39</v>
      </c>
      <c r="B5" s="2955">
        <v>131.91999999999999</v>
      </c>
      <c r="C5" s="2955">
        <v>134.91</v>
      </c>
      <c r="D5" s="2955">
        <v>99.55</v>
      </c>
      <c r="E5" s="2955">
        <v>99.55</v>
      </c>
      <c r="F5" s="2955">
        <v>131.96</v>
      </c>
      <c r="G5" s="2955">
        <v>125.33</v>
      </c>
      <c r="H5" s="2955">
        <v>99.72</v>
      </c>
      <c r="I5" s="2955">
        <v>123.51</v>
      </c>
      <c r="J5" s="2955">
        <v>96.78</v>
      </c>
      <c r="K5" s="2955">
        <v>96.8</v>
      </c>
      <c r="L5" s="2955">
        <v>127.22</v>
      </c>
      <c r="M5" s="2955">
        <v>126.32</v>
      </c>
    </row>
    <row r="6" spans="1:13">
      <c r="A6" s="2955">
        <v>99.39</v>
      </c>
      <c r="B6" s="2955">
        <v>131.91999999999999</v>
      </c>
      <c r="C6" s="2955">
        <v>131.96</v>
      </c>
      <c r="D6" s="2955">
        <v>125.31</v>
      </c>
      <c r="E6" s="2955">
        <v>123.53</v>
      </c>
      <c r="F6" s="2955">
        <v>131.96</v>
      </c>
      <c r="G6" s="2955">
        <v>123.54</v>
      </c>
      <c r="H6" s="2955">
        <v>123.75</v>
      </c>
      <c r="I6" s="2955">
        <v>123.51</v>
      </c>
      <c r="J6" s="2955">
        <v>97.15</v>
      </c>
      <c r="K6" s="2955">
        <v>96.43</v>
      </c>
      <c r="L6" s="2955">
        <v>133.13</v>
      </c>
      <c r="M6" s="2955">
        <v>141.91</v>
      </c>
    </row>
    <row r="7" spans="1:13">
      <c r="A7" s="2955">
        <v>125.12</v>
      </c>
      <c r="B7" s="2955">
        <v>134.86000000000001</v>
      </c>
      <c r="C7" s="2955">
        <v>134.91</v>
      </c>
      <c r="D7" s="2955">
        <v>99.55</v>
      </c>
      <c r="E7" s="2955">
        <v>120.35</v>
      </c>
      <c r="F7" s="2955">
        <v>134.91</v>
      </c>
      <c r="G7" s="2955">
        <v>125.33</v>
      </c>
      <c r="H7" s="2955">
        <v>99.72</v>
      </c>
      <c r="I7" s="2955">
        <v>123.51</v>
      </c>
      <c r="J7" s="2955">
        <v>97.6</v>
      </c>
      <c r="K7" s="2955">
        <v>96.43</v>
      </c>
      <c r="L7" s="2955">
        <v>127.22</v>
      </c>
      <c r="M7" s="2955">
        <v>142.19999999999999</v>
      </c>
    </row>
    <row r="8" spans="1:13">
      <c r="A8" s="2955">
        <v>123.34</v>
      </c>
      <c r="B8" s="2955">
        <v>134.86000000000001</v>
      </c>
      <c r="C8" s="2955">
        <v>134.91</v>
      </c>
      <c r="D8" s="2955">
        <v>99.55</v>
      </c>
      <c r="E8" s="2955">
        <v>123.53</v>
      </c>
      <c r="F8" s="2955">
        <v>134.91</v>
      </c>
      <c r="G8" s="2955">
        <v>99.56</v>
      </c>
      <c r="H8" s="2955">
        <v>99.72</v>
      </c>
      <c r="I8" s="2955">
        <v>123.51</v>
      </c>
      <c r="J8" s="2955">
        <v>97.15</v>
      </c>
      <c r="K8" s="2955">
        <v>97.24</v>
      </c>
      <c r="L8" s="2955">
        <v>159.76</v>
      </c>
      <c r="M8" s="2955">
        <v>141.91</v>
      </c>
    </row>
    <row r="9" spans="1:13">
      <c r="A9" s="2955">
        <v>99.39</v>
      </c>
      <c r="B9" s="2955">
        <v>131.91999999999999</v>
      </c>
      <c r="C9" s="2955">
        <v>134.91</v>
      </c>
      <c r="D9" s="2955">
        <v>125.31</v>
      </c>
      <c r="E9" s="2955">
        <v>99.55</v>
      </c>
      <c r="F9" s="2955">
        <v>131.96</v>
      </c>
      <c r="G9" s="2955">
        <v>123.54</v>
      </c>
      <c r="H9" s="2955">
        <v>99.72</v>
      </c>
      <c r="I9" s="2955">
        <v>99.53</v>
      </c>
      <c r="J9" s="2955">
        <v>97.6</v>
      </c>
      <c r="K9" s="2955">
        <v>97.24</v>
      </c>
      <c r="L9" s="2955">
        <v>133.13</v>
      </c>
      <c r="M9" s="2955">
        <v>141.91</v>
      </c>
    </row>
    <row r="10" spans="1:13">
      <c r="A10" s="2955">
        <v>99.39</v>
      </c>
      <c r="B10" s="2955">
        <v>131.91999999999999</v>
      </c>
      <c r="C10" s="2955">
        <v>131.96</v>
      </c>
      <c r="D10" s="2955">
        <v>99.55</v>
      </c>
      <c r="E10" s="2955">
        <v>99.55</v>
      </c>
      <c r="F10" s="2955">
        <v>131.96</v>
      </c>
      <c r="G10" s="2955">
        <v>123.54</v>
      </c>
      <c r="H10" s="2955">
        <v>125.54</v>
      </c>
      <c r="I10" s="2955">
        <v>99.53</v>
      </c>
      <c r="J10" s="2955">
        <v>97.6</v>
      </c>
      <c r="K10" s="2955">
        <v>96.43</v>
      </c>
      <c r="L10" s="2955">
        <v>133.13</v>
      </c>
      <c r="M10" s="2955">
        <v>196.99</v>
      </c>
    </row>
    <row r="11" spans="1:13">
      <c r="A11" s="2955">
        <v>123.34</v>
      </c>
      <c r="B11" s="2955">
        <v>134.86000000000001</v>
      </c>
      <c r="C11" s="2955">
        <v>134.91</v>
      </c>
      <c r="D11" s="2955">
        <v>125.31</v>
      </c>
      <c r="E11" s="2955">
        <v>122.15</v>
      </c>
      <c r="F11" s="2955">
        <v>134.91</v>
      </c>
      <c r="G11" s="2955">
        <v>123.54</v>
      </c>
      <c r="H11" s="2955">
        <v>99.72</v>
      </c>
      <c r="I11" s="2955">
        <v>125.29</v>
      </c>
      <c r="J11" s="2955">
        <v>96.78</v>
      </c>
      <c r="K11" s="2955">
        <v>97.24</v>
      </c>
      <c r="L11" s="2955">
        <v>127.22</v>
      </c>
      <c r="M11" s="2955">
        <v>207.48</v>
      </c>
    </row>
    <row r="12" spans="1:13">
      <c r="A12" s="2955">
        <v>125.12</v>
      </c>
      <c r="B12" s="2955">
        <v>131.91999999999999</v>
      </c>
      <c r="C12" s="2955">
        <v>134.91</v>
      </c>
      <c r="D12" s="2955">
        <v>99.55</v>
      </c>
      <c r="E12" s="2955">
        <v>99.55</v>
      </c>
      <c r="F12" s="2955">
        <v>131.96</v>
      </c>
      <c r="G12" s="2955">
        <v>99.56</v>
      </c>
      <c r="H12" s="2955">
        <v>99.72</v>
      </c>
      <c r="I12" s="2955">
        <v>122.13</v>
      </c>
      <c r="J12" s="2955">
        <v>96.78</v>
      </c>
      <c r="K12" s="2955">
        <v>96.43</v>
      </c>
      <c r="L12" s="2955">
        <v>127.22</v>
      </c>
      <c r="M12" s="2955">
        <v>207.48</v>
      </c>
    </row>
    <row r="13" spans="1:13">
      <c r="A13" s="2955">
        <v>125.12</v>
      </c>
      <c r="B13" s="2955">
        <v>134.86000000000001</v>
      </c>
      <c r="C13" s="2955">
        <v>131.96</v>
      </c>
      <c r="D13" s="2955">
        <v>97.87</v>
      </c>
      <c r="E13" s="2955">
        <v>99.55</v>
      </c>
      <c r="F13" s="2955">
        <v>134.91</v>
      </c>
      <c r="G13" s="2955">
        <v>123.54</v>
      </c>
      <c r="H13" s="2955">
        <v>123.75</v>
      </c>
      <c r="I13" s="2955">
        <v>99.53</v>
      </c>
      <c r="J13" s="2955">
        <v>97.15</v>
      </c>
      <c r="K13" s="2955">
        <v>96.8</v>
      </c>
      <c r="L13" s="2955">
        <v>159.76</v>
      </c>
      <c r="M13" s="2955">
        <v>207.48</v>
      </c>
    </row>
    <row r="14" spans="1:13">
      <c r="A14" s="2955">
        <v>125.12</v>
      </c>
      <c r="B14" s="2955">
        <v>131.91999999999999</v>
      </c>
      <c r="C14" s="2955">
        <v>233.97</v>
      </c>
      <c r="D14" s="2955">
        <v>123.53</v>
      </c>
      <c r="E14" s="2955">
        <v>99.55</v>
      </c>
      <c r="F14" s="2955">
        <v>213.45</v>
      </c>
      <c r="G14" s="2955">
        <v>99.56</v>
      </c>
      <c r="H14" s="2955">
        <v>123.75</v>
      </c>
      <c r="I14" s="2955">
        <v>99.53</v>
      </c>
      <c r="J14" s="2955">
        <v>96.78</v>
      </c>
      <c r="K14" s="2955">
        <v>96.43</v>
      </c>
      <c r="L14" s="2955">
        <v>165.51</v>
      </c>
      <c r="M14" s="2955">
        <v>141.91</v>
      </c>
    </row>
    <row r="15" spans="1:13">
      <c r="A15" s="2955">
        <v>123.34</v>
      </c>
      <c r="B15" s="2955">
        <v>131.91999999999999</v>
      </c>
      <c r="C15" s="2955">
        <v>233.97</v>
      </c>
      <c r="D15" s="2955">
        <v>123.53</v>
      </c>
      <c r="E15" s="2955">
        <v>123.53</v>
      </c>
      <c r="F15" s="2955">
        <v>134.91</v>
      </c>
      <c r="G15" s="2955">
        <v>123.54</v>
      </c>
      <c r="H15" s="2955">
        <v>99.72</v>
      </c>
      <c r="I15" s="2955">
        <v>99.53</v>
      </c>
      <c r="J15" s="2955">
        <v>97.15</v>
      </c>
      <c r="K15" s="2955">
        <v>96.8</v>
      </c>
      <c r="L15" s="2955">
        <v>133.13</v>
      </c>
      <c r="M15" s="2955">
        <v>207.48</v>
      </c>
    </row>
    <row r="16" spans="1:13">
      <c r="A16" s="2955">
        <v>125.12</v>
      </c>
      <c r="B16" s="2955">
        <v>131.91999999999999</v>
      </c>
      <c r="C16" s="2955">
        <v>131.96</v>
      </c>
      <c r="D16" s="2955">
        <v>123.53</v>
      </c>
      <c r="E16" s="2955">
        <v>99.55</v>
      </c>
      <c r="F16" s="2955">
        <v>134.91</v>
      </c>
      <c r="G16" s="2955">
        <v>120.36</v>
      </c>
      <c r="H16" s="2955">
        <v>99.72</v>
      </c>
      <c r="I16" s="2955">
        <v>99.53</v>
      </c>
      <c r="J16" s="2955">
        <v>96.78</v>
      </c>
      <c r="K16" s="2955">
        <v>96.43</v>
      </c>
      <c r="L16" s="2955">
        <v>133.13</v>
      </c>
      <c r="M16" s="2955">
        <v>141.91</v>
      </c>
    </row>
    <row r="17" spans="1:13">
      <c r="A17" s="2955">
        <v>99.39</v>
      </c>
      <c r="B17" s="2955">
        <v>131.91999999999999</v>
      </c>
      <c r="C17" s="2955">
        <v>131.96</v>
      </c>
      <c r="D17" s="2955">
        <v>97.87</v>
      </c>
      <c r="E17" s="2955">
        <v>123.53</v>
      </c>
      <c r="F17" s="2955">
        <v>134.91</v>
      </c>
      <c r="G17" s="2955">
        <v>99.56</v>
      </c>
      <c r="H17" s="2955">
        <v>99.72</v>
      </c>
      <c r="I17" s="2955">
        <v>123.51</v>
      </c>
      <c r="J17" s="2955">
        <v>97.15</v>
      </c>
      <c r="K17" s="2955">
        <v>96.8</v>
      </c>
      <c r="L17" s="2955">
        <v>127.22</v>
      </c>
      <c r="M17" s="2955">
        <v>132.19</v>
      </c>
    </row>
    <row r="18" spans="1:13">
      <c r="A18" s="2955">
        <v>99.39</v>
      </c>
      <c r="B18" s="2955">
        <v>131.91999999999999</v>
      </c>
      <c r="C18" s="2955">
        <v>131.96</v>
      </c>
      <c r="D18" s="2955">
        <v>125.31</v>
      </c>
      <c r="E18" s="2955">
        <v>125.31</v>
      </c>
      <c r="F18" s="2955">
        <v>134.91</v>
      </c>
      <c r="G18" s="2955">
        <v>123.54</v>
      </c>
      <c r="H18" s="2955">
        <v>123.75</v>
      </c>
      <c r="I18" s="2955">
        <v>125.29</v>
      </c>
      <c r="J18" s="2955">
        <v>96.78</v>
      </c>
      <c r="K18" s="2955">
        <v>96.43</v>
      </c>
      <c r="L18" s="2955">
        <v>127.22</v>
      </c>
      <c r="M18" s="2955">
        <v>126.32</v>
      </c>
    </row>
    <row r="19" spans="1:13">
      <c r="A19" s="2955">
        <v>99.39</v>
      </c>
      <c r="B19" s="2955">
        <v>233.88</v>
      </c>
      <c r="C19" s="2955">
        <v>131.96</v>
      </c>
      <c r="D19" s="2955">
        <v>99.55</v>
      </c>
      <c r="E19" s="2955">
        <v>99.55</v>
      </c>
      <c r="F19" s="2955">
        <v>134.91</v>
      </c>
      <c r="G19" s="2955">
        <v>99.56</v>
      </c>
      <c r="H19" s="2955">
        <v>99.72</v>
      </c>
      <c r="I19" s="2955">
        <v>123.51</v>
      </c>
      <c r="J19" s="2955">
        <v>97.6</v>
      </c>
      <c r="K19" s="2955">
        <v>97.24</v>
      </c>
      <c r="L19" s="2955">
        <v>133.13</v>
      </c>
      <c r="M19" s="2955">
        <v>142.19999999999999</v>
      </c>
    </row>
    <row r="20" spans="1:13">
      <c r="A20" s="2955">
        <v>99.39</v>
      </c>
      <c r="B20" s="2955">
        <v>134.86000000000001</v>
      </c>
      <c r="C20" s="2955">
        <v>131.96</v>
      </c>
      <c r="D20" s="2955">
        <v>99.55</v>
      </c>
      <c r="E20" s="2955">
        <v>123.53</v>
      </c>
      <c r="F20" s="2955">
        <v>134.91</v>
      </c>
      <c r="G20" s="2955">
        <v>99.56</v>
      </c>
      <c r="H20" s="2955">
        <v>99.72</v>
      </c>
      <c r="I20" s="2955">
        <v>99.53</v>
      </c>
      <c r="J20" s="2955">
        <v>97.15</v>
      </c>
      <c r="K20" s="2955">
        <v>97.24</v>
      </c>
      <c r="L20" s="2955">
        <v>165.51</v>
      </c>
      <c r="M20" s="2955">
        <v>141.91</v>
      </c>
    </row>
    <row r="21" spans="1:13">
      <c r="A21" s="2955">
        <v>99.39</v>
      </c>
      <c r="B21" s="2955">
        <v>213.37</v>
      </c>
      <c r="C21" s="2955">
        <v>131.96</v>
      </c>
      <c r="D21" s="2955">
        <v>125.31</v>
      </c>
      <c r="E21" s="2955">
        <v>122.15</v>
      </c>
      <c r="F21" s="2955">
        <v>131.96</v>
      </c>
      <c r="G21" s="2955">
        <v>99.56</v>
      </c>
      <c r="H21" s="2955">
        <v>125.54</v>
      </c>
      <c r="I21" s="2955">
        <v>99.53</v>
      </c>
      <c r="J21" s="2955">
        <v>97.96</v>
      </c>
      <c r="K21" s="2955">
        <v>96.43</v>
      </c>
      <c r="L21" s="2955">
        <v>127.22</v>
      </c>
      <c r="M21" s="2955">
        <v>141.91</v>
      </c>
    </row>
    <row r="22" spans="1:13">
      <c r="A22" s="2955">
        <v>125.12</v>
      </c>
      <c r="B22" s="2955">
        <v>131.91999999999999</v>
      </c>
      <c r="C22" s="2955">
        <v>134.91</v>
      </c>
      <c r="D22" s="2955">
        <v>125.31</v>
      </c>
      <c r="E22" s="2955">
        <v>125.31</v>
      </c>
      <c r="F22" s="2955">
        <v>131.96</v>
      </c>
      <c r="G22" s="2955">
        <v>99.56</v>
      </c>
      <c r="H22" s="2955">
        <v>123.75</v>
      </c>
      <c r="I22" s="2955">
        <v>99.53</v>
      </c>
      <c r="J22" s="2955">
        <v>96.78</v>
      </c>
      <c r="K22" s="2955">
        <v>96.43</v>
      </c>
      <c r="L22" s="2955">
        <v>133.13</v>
      </c>
      <c r="M22" s="2955">
        <v>207.48</v>
      </c>
    </row>
    <row r="23" spans="1:13">
      <c r="A23" s="2955">
        <v>99.39</v>
      </c>
      <c r="B23" s="2955">
        <v>134.86000000000001</v>
      </c>
      <c r="C23" s="2955">
        <v>134.91</v>
      </c>
      <c r="D23" s="2955">
        <v>125.31</v>
      </c>
      <c r="E23" s="2955">
        <v>125.31</v>
      </c>
      <c r="F23" s="2955">
        <v>233.97</v>
      </c>
      <c r="G23" s="2955">
        <v>99.56</v>
      </c>
      <c r="H23" s="2955">
        <v>99.72</v>
      </c>
      <c r="I23" s="2955">
        <v>99.53</v>
      </c>
      <c r="J23" s="2955">
        <v>97.15</v>
      </c>
      <c r="K23" s="2955">
        <v>96.43</v>
      </c>
      <c r="L23" s="3175">
        <f>SUM(L2:L22)</f>
        <v>2866.47</v>
      </c>
      <c r="M23" s="2955">
        <v>142.19999999999999</v>
      </c>
    </row>
    <row r="24" spans="1:13">
      <c r="A24" s="2955">
        <v>123.34</v>
      </c>
      <c r="B24" s="2955">
        <v>131.91999999999999</v>
      </c>
      <c r="C24" s="2955">
        <v>131.96</v>
      </c>
      <c r="D24" s="2955">
        <v>99.55</v>
      </c>
      <c r="E24" s="2955">
        <v>99.55</v>
      </c>
      <c r="F24" s="2955">
        <v>131.96</v>
      </c>
      <c r="G24" s="2955">
        <v>99.56</v>
      </c>
      <c r="H24" s="2955">
        <v>125.54</v>
      </c>
      <c r="I24" s="2955">
        <v>99.53</v>
      </c>
      <c r="J24" s="2955">
        <v>97.15</v>
      </c>
      <c r="K24" s="2955">
        <v>96.8</v>
      </c>
      <c r="M24" s="2955">
        <v>142.19999999999999</v>
      </c>
    </row>
    <row r="25" spans="1:13">
      <c r="A25" s="2955">
        <v>99.39</v>
      </c>
      <c r="B25" s="2955">
        <v>131.91999999999999</v>
      </c>
      <c r="C25" s="2955">
        <v>134.91</v>
      </c>
      <c r="D25" s="2955">
        <v>97.87</v>
      </c>
      <c r="E25" s="2955">
        <v>123.53</v>
      </c>
      <c r="F25" s="2955">
        <v>131.96</v>
      </c>
      <c r="G25" s="2955">
        <v>99.56</v>
      </c>
      <c r="H25" s="2955">
        <v>99.72</v>
      </c>
      <c r="I25" s="2955">
        <v>99.53</v>
      </c>
      <c r="J25" s="2955">
        <v>140.43</v>
      </c>
      <c r="K25" s="2955">
        <v>96.43</v>
      </c>
      <c r="M25" s="2955">
        <v>132.19</v>
      </c>
    </row>
    <row r="26" spans="1:13">
      <c r="A26" s="2955">
        <v>99.39</v>
      </c>
      <c r="B26" s="2955">
        <v>134.86000000000001</v>
      </c>
      <c r="C26" s="2955">
        <v>134.91</v>
      </c>
      <c r="D26" s="2955">
        <v>125.31</v>
      </c>
      <c r="E26" s="2955">
        <v>123.53</v>
      </c>
      <c r="F26" s="2955">
        <v>131.96</v>
      </c>
      <c r="G26" s="2955">
        <v>123.54</v>
      </c>
      <c r="H26" s="2955">
        <v>99.72</v>
      </c>
      <c r="I26" s="2955">
        <v>99.53</v>
      </c>
      <c r="J26" s="2955">
        <v>96.78</v>
      </c>
      <c r="K26" s="2955">
        <v>96.43</v>
      </c>
      <c r="M26" s="2955">
        <v>197</v>
      </c>
    </row>
    <row r="27" spans="1:13">
      <c r="A27" s="2955">
        <v>99.39</v>
      </c>
      <c r="B27" s="2955">
        <v>131.91999999999999</v>
      </c>
      <c r="C27" s="2955">
        <v>131.96</v>
      </c>
      <c r="D27" s="2955">
        <v>99.55</v>
      </c>
      <c r="E27" s="2955">
        <v>120.35</v>
      </c>
      <c r="F27" s="2955">
        <v>134.91</v>
      </c>
      <c r="G27" s="2955">
        <v>99.56</v>
      </c>
      <c r="H27" s="2955">
        <v>99.72</v>
      </c>
      <c r="I27" s="2955">
        <v>99.53</v>
      </c>
      <c r="J27" s="2955">
        <v>140.25</v>
      </c>
      <c r="K27" s="2955">
        <v>96.8</v>
      </c>
      <c r="M27" s="2955">
        <v>132.19</v>
      </c>
    </row>
    <row r="28" spans="1:13">
      <c r="A28" s="2955">
        <v>97.72</v>
      </c>
      <c r="B28" s="2955">
        <v>131.91999999999999</v>
      </c>
      <c r="C28" s="2955">
        <v>134.91</v>
      </c>
      <c r="D28" s="2955">
        <v>99.55</v>
      </c>
      <c r="E28" s="2955">
        <v>125.31</v>
      </c>
      <c r="F28" s="2955">
        <v>134.91</v>
      </c>
      <c r="G28" s="2955">
        <v>99.56</v>
      </c>
      <c r="H28" s="2955">
        <v>99.72</v>
      </c>
      <c r="I28" s="2955">
        <v>125.29</v>
      </c>
      <c r="J28" s="2955">
        <v>96.78</v>
      </c>
      <c r="K28" s="2955">
        <v>96.43</v>
      </c>
      <c r="M28" s="2955">
        <v>142.19999999999999</v>
      </c>
    </row>
    <row r="29" spans="1:13">
      <c r="A29" s="2955">
        <v>99.39</v>
      </c>
      <c r="B29" s="2955">
        <v>134.86000000000001</v>
      </c>
      <c r="C29" s="2955">
        <v>134.91</v>
      </c>
      <c r="D29" s="2955">
        <v>99.55</v>
      </c>
      <c r="E29" s="2955">
        <v>125.31</v>
      </c>
      <c r="F29" s="2955">
        <v>131.96</v>
      </c>
      <c r="G29" s="2955">
        <v>125.33</v>
      </c>
      <c r="H29" s="2955">
        <v>99.72</v>
      </c>
      <c r="I29" s="2955">
        <v>125.29</v>
      </c>
      <c r="J29" s="2955">
        <v>96.78</v>
      </c>
      <c r="K29" s="2955">
        <v>96.8</v>
      </c>
      <c r="M29" s="2955">
        <v>141.91</v>
      </c>
    </row>
    <row r="30" spans="1:13">
      <c r="A30" s="2955">
        <v>123.34</v>
      </c>
      <c r="B30" s="2955">
        <v>131.91999999999999</v>
      </c>
      <c r="C30" s="2955">
        <v>134.91</v>
      </c>
      <c r="D30" s="2955">
        <v>123.53</v>
      </c>
      <c r="E30" s="2955">
        <v>99.55</v>
      </c>
      <c r="F30" s="2955">
        <v>131.96</v>
      </c>
      <c r="G30" s="2955">
        <v>123.54</v>
      </c>
      <c r="H30" s="2955">
        <v>99.72</v>
      </c>
      <c r="I30" s="2955">
        <v>99.53</v>
      </c>
      <c r="J30" s="2955">
        <v>96.78</v>
      </c>
      <c r="K30" s="2955">
        <v>96.43</v>
      </c>
      <c r="M30" s="2955">
        <v>189.43</v>
      </c>
    </row>
    <row r="31" spans="1:13">
      <c r="A31" s="2955">
        <v>123.34</v>
      </c>
      <c r="B31" s="2955">
        <v>131.91999999999999</v>
      </c>
      <c r="C31" s="2955">
        <v>131.96</v>
      </c>
      <c r="D31" s="2955">
        <v>99.55</v>
      </c>
      <c r="E31" s="2955">
        <v>125.31</v>
      </c>
      <c r="F31" s="2955">
        <v>134.91</v>
      </c>
      <c r="G31" s="2955">
        <v>99.56</v>
      </c>
      <c r="H31" s="2955">
        <v>99.72</v>
      </c>
      <c r="I31" s="2955">
        <v>125.29</v>
      </c>
      <c r="J31" s="2955">
        <v>96.78</v>
      </c>
      <c r="K31" s="2955">
        <v>96.8</v>
      </c>
      <c r="M31" s="3175">
        <f>SUM(M2:M30)</f>
        <v>4501.1399999999994</v>
      </c>
    </row>
    <row r="32" spans="1:13">
      <c r="A32" s="2955">
        <v>123.34</v>
      </c>
      <c r="B32" s="2955">
        <v>134.86000000000001</v>
      </c>
      <c r="C32" s="2955">
        <v>131.96</v>
      </c>
      <c r="D32" s="2955">
        <v>125.31</v>
      </c>
      <c r="E32" s="2955">
        <v>125.31</v>
      </c>
      <c r="F32" s="2955">
        <v>131.96</v>
      </c>
      <c r="G32" s="2955">
        <v>99.56</v>
      </c>
      <c r="H32" s="2955">
        <v>99.72</v>
      </c>
      <c r="I32" s="2955">
        <v>99.53</v>
      </c>
      <c r="J32" s="2955">
        <v>96.78</v>
      </c>
      <c r="K32" s="2955">
        <v>139.74</v>
      </c>
    </row>
    <row r="33" spans="1:11">
      <c r="A33" s="2955">
        <v>123.34</v>
      </c>
      <c r="B33" s="2955">
        <v>134.86000000000001</v>
      </c>
      <c r="C33" s="2955">
        <v>131.96</v>
      </c>
      <c r="D33" s="2955">
        <v>123.53</v>
      </c>
      <c r="E33" s="2955">
        <v>99.55</v>
      </c>
      <c r="F33" s="2955">
        <v>134.91</v>
      </c>
      <c r="G33" s="2955">
        <v>99.56</v>
      </c>
      <c r="H33" s="2955">
        <v>125.54</v>
      </c>
      <c r="I33" s="2955">
        <v>99.53</v>
      </c>
      <c r="J33" s="2955">
        <v>97.6</v>
      </c>
      <c r="K33" s="2955">
        <v>97.97</v>
      </c>
    </row>
    <row r="34" spans="1:11">
      <c r="A34" s="2955">
        <v>99.39</v>
      </c>
      <c r="B34" s="2955">
        <v>134.86000000000001</v>
      </c>
      <c r="C34" s="2955">
        <v>134.91</v>
      </c>
      <c r="D34" s="2955">
        <v>99.55</v>
      </c>
      <c r="E34" s="2955">
        <v>125.31</v>
      </c>
      <c r="F34" s="2955">
        <v>134.91</v>
      </c>
      <c r="G34" s="2955">
        <v>99.56</v>
      </c>
      <c r="H34" s="2955">
        <v>99.72</v>
      </c>
      <c r="I34" s="2955">
        <v>99.53</v>
      </c>
      <c r="J34" s="2955">
        <v>96.78</v>
      </c>
      <c r="K34" s="2955">
        <v>96.8</v>
      </c>
    </row>
    <row r="35" spans="1:11">
      <c r="A35" s="2955">
        <v>99.39</v>
      </c>
      <c r="B35" s="2955">
        <v>213.37</v>
      </c>
      <c r="C35" s="2955">
        <v>131.96</v>
      </c>
      <c r="D35" s="2955">
        <v>123.53</v>
      </c>
      <c r="E35" s="2955">
        <v>123.53</v>
      </c>
      <c r="F35" s="2955">
        <v>131.96</v>
      </c>
      <c r="G35" s="2955">
        <v>99.56</v>
      </c>
      <c r="H35" s="2955">
        <v>99.72</v>
      </c>
      <c r="I35" s="2955">
        <v>99.53</v>
      </c>
      <c r="J35" s="2955">
        <v>96.78</v>
      </c>
      <c r="K35" s="2955">
        <v>96.43</v>
      </c>
    </row>
    <row r="36" spans="1:11">
      <c r="A36" s="2955">
        <v>125.12</v>
      </c>
      <c r="B36" s="2955">
        <v>134.86000000000001</v>
      </c>
      <c r="C36" s="2955">
        <v>213.45</v>
      </c>
      <c r="D36" s="2955">
        <v>125.31</v>
      </c>
      <c r="E36" s="2955">
        <v>99.55</v>
      </c>
      <c r="F36" s="2955">
        <v>134.91</v>
      </c>
      <c r="G36" s="2955">
        <v>125.33</v>
      </c>
      <c r="H36" s="2955">
        <v>99.72</v>
      </c>
      <c r="I36" s="2955">
        <v>99.53</v>
      </c>
      <c r="J36" s="2955">
        <v>97.15</v>
      </c>
      <c r="K36" s="2955">
        <v>139.91</v>
      </c>
    </row>
    <row r="37" spans="1:11">
      <c r="A37" s="2955">
        <v>99.39</v>
      </c>
      <c r="B37" s="2955">
        <v>134.86000000000001</v>
      </c>
      <c r="C37" s="2955">
        <v>134.91</v>
      </c>
      <c r="D37" s="2955">
        <v>99.55</v>
      </c>
      <c r="E37" s="2955">
        <v>99.55</v>
      </c>
      <c r="F37" s="2955">
        <v>134.91</v>
      </c>
      <c r="G37" s="2955">
        <v>99.56</v>
      </c>
      <c r="H37" s="2955">
        <v>99.72</v>
      </c>
      <c r="I37" s="2955">
        <v>99.53</v>
      </c>
      <c r="J37" s="2955">
        <v>96.78</v>
      </c>
      <c r="K37" s="2955">
        <v>96.43</v>
      </c>
    </row>
    <row r="38" spans="1:11">
      <c r="A38" s="2955">
        <v>99.39</v>
      </c>
      <c r="B38" s="2955">
        <v>131.91999999999999</v>
      </c>
      <c r="C38" s="2955">
        <v>131.96</v>
      </c>
      <c r="D38" s="2955">
        <v>125.31</v>
      </c>
      <c r="E38" s="2955">
        <v>99.55</v>
      </c>
      <c r="F38" s="2955">
        <v>134.91</v>
      </c>
      <c r="G38" s="2955">
        <v>99.56</v>
      </c>
      <c r="H38" s="2955">
        <v>99.72</v>
      </c>
      <c r="I38" s="2955">
        <v>123.51</v>
      </c>
      <c r="J38" s="2955">
        <v>98.34</v>
      </c>
      <c r="K38" s="2955">
        <v>96.43</v>
      </c>
    </row>
    <row r="39" spans="1:11">
      <c r="A39" s="2955">
        <v>99.39</v>
      </c>
      <c r="B39" s="2955">
        <v>134.86000000000001</v>
      </c>
      <c r="C39" s="2955">
        <v>134.91</v>
      </c>
      <c r="D39" s="2955">
        <v>125.31</v>
      </c>
      <c r="E39" s="2955">
        <v>99.55</v>
      </c>
      <c r="F39" s="2955">
        <v>134.91</v>
      </c>
      <c r="G39" s="2955">
        <v>125.33</v>
      </c>
      <c r="H39" s="2955">
        <v>99.72</v>
      </c>
      <c r="I39" s="2955">
        <v>99.53</v>
      </c>
      <c r="J39" s="3175">
        <f>SUM(J2:J38)</f>
        <v>3679.7900000000022</v>
      </c>
      <c r="K39" s="2955">
        <v>96.43</v>
      </c>
    </row>
    <row r="40" spans="1:11">
      <c r="A40" s="2955">
        <v>97.72</v>
      </c>
      <c r="B40" s="2955">
        <v>134.86000000000001</v>
      </c>
      <c r="C40" s="2955">
        <v>134.91</v>
      </c>
      <c r="D40" s="2955">
        <v>99.55</v>
      </c>
      <c r="E40" s="2955">
        <v>122.15</v>
      </c>
      <c r="F40" s="2955">
        <v>134.91</v>
      </c>
      <c r="G40" s="2955">
        <v>123.54</v>
      </c>
      <c r="H40" s="2955">
        <v>123.75</v>
      </c>
      <c r="I40" s="2955">
        <v>99.53</v>
      </c>
      <c r="K40" s="2955">
        <v>96.43</v>
      </c>
    </row>
    <row r="41" spans="1:11">
      <c r="A41" s="2955">
        <v>99.39</v>
      </c>
      <c r="B41" s="2955">
        <v>134.86000000000001</v>
      </c>
      <c r="C41" s="2955">
        <v>134.91</v>
      </c>
      <c r="D41" s="2955">
        <v>99.55</v>
      </c>
      <c r="E41" s="2955">
        <v>99.55</v>
      </c>
      <c r="F41" s="2955">
        <v>131.96</v>
      </c>
      <c r="G41" s="2955">
        <v>123.54</v>
      </c>
      <c r="H41" s="2955">
        <v>99.72</v>
      </c>
      <c r="I41" s="2955">
        <v>123.51</v>
      </c>
      <c r="K41" s="2955">
        <v>96.43</v>
      </c>
    </row>
    <row r="42" spans="1:11">
      <c r="A42" s="2955">
        <v>125.12</v>
      </c>
      <c r="B42" s="2955">
        <v>134.86000000000001</v>
      </c>
      <c r="C42" s="2955">
        <v>134.91</v>
      </c>
      <c r="D42" s="2955">
        <v>125.31</v>
      </c>
      <c r="E42" s="2955">
        <v>125.31</v>
      </c>
      <c r="F42" s="2955">
        <v>131.96</v>
      </c>
      <c r="G42" s="2955">
        <v>99.56</v>
      </c>
      <c r="H42" s="2955">
        <v>123.75</v>
      </c>
      <c r="I42" s="2955">
        <v>99.53</v>
      </c>
      <c r="K42" s="2955">
        <v>96.43</v>
      </c>
    </row>
    <row r="43" spans="1:11">
      <c r="A43" s="2955">
        <v>99.39</v>
      </c>
      <c r="B43" s="2955">
        <v>134.86000000000001</v>
      </c>
      <c r="C43" s="2955">
        <v>134.91</v>
      </c>
      <c r="D43" s="2955">
        <v>125.31</v>
      </c>
      <c r="E43" s="2955">
        <v>97.87</v>
      </c>
      <c r="F43" s="2955">
        <v>134.91</v>
      </c>
      <c r="G43" s="2955">
        <v>99.56</v>
      </c>
      <c r="H43" s="2955">
        <v>123.75</v>
      </c>
      <c r="I43" s="2955">
        <v>125.29</v>
      </c>
      <c r="K43" s="2955">
        <v>96.43</v>
      </c>
    </row>
    <row r="44" spans="1:11">
      <c r="A44" s="2955">
        <v>123.34</v>
      </c>
      <c r="B44" s="2955">
        <v>134.86000000000001</v>
      </c>
      <c r="C44" s="2955">
        <v>213.45</v>
      </c>
      <c r="D44" s="2955">
        <v>99.55</v>
      </c>
      <c r="E44" s="2955">
        <v>99.55</v>
      </c>
      <c r="F44" s="2955">
        <v>134.91</v>
      </c>
      <c r="G44" s="2955">
        <v>99.56</v>
      </c>
      <c r="H44" s="2955">
        <v>99.72</v>
      </c>
      <c r="I44" s="2955">
        <v>97.85</v>
      </c>
      <c r="K44" s="2955">
        <v>96.8</v>
      </c>
    </row>
    <row r="45" spans="1:11">
      <c r="A45" s="2955">
        <v>99.39</v>
      </c>
      <c r="B45" s="2955">
        <v>131.91999999999999</v>
      </c>
      <c r="C45" s="2955">
        <v>134.91</v>
      </c>
      <c r="D45" s="2955">
        <v>99.55</v>
      </c>
      <c r="E45" s="2955">
        <v>125.31</v>
      </c>
      <c r="F45" s="2955">
        <v>131.96</v>
      </c>
      <c r="G45" s="2955">
        <v>123.54</v>
      </c>
      <c r="H45" s="2955">
        <v>123.75</v>
      </c>
      <c r="I45" s="2955">
        <v>125.29</v>
      </c>
      <c r="K45" s="3175">
        <f>SUM(K2:K44)</f>
        <v>4244.1899999999996</v>
      </c>
    </row>
    <row r="46" spans="1:11">
      <c r="A46" s="2955">
        <v>123.34</v>
      </c>
      <c r="B46" s="2955">
        <v>131.91999999999999</v>
      </c>
      <c r="C46" s="2955">
        <v>131.96</v>
      </c>
      <c r="D46" s="2955">
        <v>125.31</v>
      </c>
      <c r="E46" s="2955">
        <v>99.55</v>
      </c>
      <c r="F46" s="2955">
        <v>233.97</v>
      </c>
      <c r="G46" s="2955">
        <v>125.33</v>
      </c>
      <c r="H46" s="2955">
        <v>125.54</v>
      </c>
      <c r="I46" s="2955">
        <v>120.33</v>
      </c>
    </row>
    <row r="47" spans="1:11">
      <c r="A47" s="2955">
        <v>99.39</v>
      </c>
      <c r="B47" s="2955">
        <v>134.86000000000001</v>
      </c>
      <c r="C47" s="2955">
        <v>131.96</v>
      </c>
      <c r="D47" s="2955">
        <v>99.55</v>
      </c>
      <c r="E47" s="2955">
        <v>125.31</v>
      </c>
      <c r="F47" s="2955">
        <v>134.91</v>
      </c>
      <c r="G47" s="2955">
        <v>125.33</v>
      </c>
      <c r="H47" s="2955">
        <v>99.72</v>
      </c>
      <c r="I47" s="2955">
        <v>99.53</v>
      </c>
    </row>
    <row r="48" spans="1:11">
      <c r="A48" s="2955">
        <v>99.39</v>
      </c>
      <c r="B48" s="2955">
        <v>134.86000000000001</v>
      </c>
      <c r="C48" s="2955">
        <v>131.96</v>
      </c>
      <c r="D48" s="2955">
        <v>125.31</v>
      </c>
      <c r="E48" s="2955">
        <v>123.53</v>
      </c>
      <c r="F48" s="2955">
        <v>131.96</v>
      </c>
      <c r="G48" s="2955">
        <v>123.54</v>
      </c>
      <c r="H48" s="2955">
        <v>99.72</v>
      </c>
      <c r="I48" s="2955">
        <v>122.13</v>
      </c>
    </row>
    <row r="49" spans="1:9">
      <c r="A49" s="2955">
        <v>99.39</v>
      </c>
      <c r="B49" s="2955">
        <v>134.86000000000001</v>
      </c>
      <c r="C49" s="2955">
        <v>131.96</v>
      </c>
      <c r="D49" s="2955">
        <v>99.55</v>
      </c>
      <c r="E49" s="2955">
        <v>125.31</v>
      </c>
      <c r="F49" s="2955">
        <v>134.91</v>
      </c>
      <c r="G49" s="2955">
        <v>99.56</v>
      </c>
      <c r="H49" s="2955">
        <v>99.72</v>
      </c>
      <c r="I49" s="2955">
        <v>99.53</v>
      </c>
    </row>
    <row r="50" spans="1:9">
      <c r="A50" s="2955">
        <v>99.39</v>
      </c>
      <c r="B50" s="3175">
        <f>SUM(B2:B49)</f>
        <v>6763.6599999999971</v>
      </c>
      <c r="C50" s="2955">
        <v>134.91</v>
      </c>
      <c r="D50" s="2955">
        <v>122.15</v>
      </c>
      <c r="E50" s="2955">
        <v>99.55</v>
      </c>
      <c r="F50" s="2955">
        <v>131.96</v>
      </c>
      <c r="G50" s="2955">
        <v>99.56</v>
      </c>
      <c r="H50" s="2955">
        <v>99.72</v>
      </c>
      <c r="I50" s="2955">
        <v>99.53</v>
      </c>
    </row>
    <row r="51" spans="1:9">
      <c r="A51" s="2955">
        <v>99.39</v>
      </c>
      <c r="C51" s="2955">
        <v>131.96</v>
      </c>
      <c r="D51" s="2955">
        <v>97.87</v>
      </c>
      <c r="E51" s="2955">
        <v>125.31</v>
      </c>
      <c r="F51" s="2955">
        <v>134.91</v>
      </c>
      <c r="G51" s="2955">
        <v>99.56</v>
      </c>
      <c r="H51" s="2955">
        <v>99.72</v>
      </c>
      <c r="I51" s="2955">
        <v>99.53</v>
      </c>
    </row>
    <row r="52" spans="1:9">
      <c r="A52" s="2955">
        <v>99.39</v>
      </c>
      <c r="C52" s="2955">
        <v>131.96</v>
      </c>
      <c r="D52" s="2955">
        <v>125.31</v>
      </c>
      <c r="E52" s="2955">
        <v>125.31</v>
      </c>
      <c r="F52" s="2955">
        <v>131.96</v>
      </c>
      <c r="G52" s="2955">
        <v>125.33</v>
      </c>
      <c r="H52" s="2955">
        <v>125.54</v>
      </c>
      <c r="I52" s="2955">
        <v>123.51</v>
      </c>
    </row>
    <row r="53" spans="1:9">
      <c r="A53" s="2955">
        <v>99.39</v>
      </c>
      <c r="C53" s="2955">
        <v>131.96</v>
      </c>
      <c r="D53" s="2955">
        <v>123.53</v>
      </c>
      <c r="E53" s="2955">
        <v>99.55</v>
      </c>
      <c r="F53" s="2955">
        <v>134.91</v>
      </c>
      <c r="G53" s="2955">
        <v>125.33</v>
      </c>
      <c r="H53" s="2955">
        <v>99.72</v>
      </c>
      <c r="I53" s="2955">
        <v>123.51</v>
      </c>
    </row>
    <row r="54" spans="1:9">
      <c r="A54" s="2955">
        <v>99.39</v>
      </c>
      <c r="C54" s="2955">
        <v>134.91</v>
      </c>
      <c r="D54" s="2955">
        <v>123.53</v>
      </c>
      <c r="E54" s="2955">
        <v>125.31</v>
      </c>
      <c r="F54" s="2955">
        <v>131.96</v>
      </c>
      <c r="G54" s="2955">
        <v>99.56</v>
      </c>
      <c r="H54" s="2955">
        <v>99.72</v>
      </c>
      <c r="I54" s="2955">
        <v>125.29</v>
      </c>
    </row>
    <row r="55" spans="1:9">
      <c r="A55" s="2955">
        <v>99.39</v>
      </c>
      <c r="C55" s="2955">
        <v>131.96</v>
      </c>
      <c r="D55" s="2955">
        <v>123.53</v>
      </c>
      <c r="E55" s="2955">
        <v>125.31</v>
      </c>
      <c r="F55" s="2955">
        <v>131.96</v>
      </c>
      <c r="G55" s="2955">
        <v>99.56</v>
      </c>
      <c r="H55" s="2955">
        <v>98.04</v>
      </c>
      <c r="I55" s="2955">
        <v>125.29</v>
      </c>
    </row>
    <row r="56" spans="1:9">
      <c r="A56" s="2955">
        <v>125.12</v>
      </c>
      <c r="C56" s="2955">
        <v>131.96</v>
      </c>
      <c r="D56" s="2955">
        <v>123.53</v>
      </c>
      <c r="E56" s="2955">
        <v>99.55</v>
      </c>
      <c r="F56" s="2955">
        <v>131.96</v>
      </c>
      <c r="G56" s="2955">
        <v>125.33</v>
      </c>
      <c r="H56" s="2955">
        <v>125.54</v>
      </c>
      <c r="I56" s="2955">
        <v>123.51</v>
      </c>
    </row>
    <row r="57" spans="1:9">
      <c r="A57" s="2955">
        <v>99.39</v>
      </c>
      <c r="C57" s="3175">
        <f>SUM(C2:C56)</f>
        <v>7698.5499999999975</v>
      </c>
      <c r="D57" s="2955">
        <v>99.55</v>
      </c>
      <c r="E57" s="2955">
        <v>125.31</v>
      </c>
      <c r="F57" s="2955">
        <v>134.91</v>
      </c>
      <c r="G57" s="2955">
        <v>97.88</v>
      </c>
      <c r="H57" s="2955">
        <v>125.54</v>
      </c>
      <c r="I57" s="2955">
        <v>99.53</v>
      </c>
    </row>
    <row r="58" spans="1:9">
      <c r="A58" s="2955">
        <v>99.39</v>
      </c>
      <c r="D58" s="2955">
        <v>123.53</v>
      </c>
      <c r="E58" s="2955">
        <v>123.53</v>
      </c>
      <c r="F58" s="2955">
        <v>131.96</v>
      </c>
      <c r="G58" s="2955">
        <v>99.56</v>
      </c>
      <c r="H58" s="2955">
        <v>123.75</v>
      </c>
      <c r="I58" s="2955">
        <v>123.51</v>
      </c>
    </row>
    <row r="59" spans="1:9">
      <c r="A59" s="2955">
        <v>120.17</v>
      </c>
      <c r="D59" s="2955">
        <v>122.15</v>
      </c>
      <c r="E59" s="2955">
        <v>99.55</v>
      </c>
      <c r="F59" s="2955">
        <v>131.96</v>
      </c>
      <c r="G59" s="2955">
        <v>125.33</v>
      </c>
      <c r="H59" s="2955">
        <v>98.04</v>
      </c>
      <c r="I59" s="2955">
        <v>99.53</v>
      </c>
    </row>
    <row r="60" spans="1:9">
      <c r="A60" s="2955">
        <v>99.39</v>
      </c>
      <c r="D60" s="2955">
        <v>99.55</v>
      </c>
      <c r="E60" s="2955">
        <v>123.53</v>
      </c>
      <c r="F60" s="3175">
        <f>SUM(F2:F59)</f>
        <v>8103.2799999999979</v>
      </c>
      <c r="G60" s="2955">
        <v>99.56</v>
      </c>
      <c r="H60" s="2955">
        <v>99.72</v>
      </c>
      <c r="I60" s="2955">
        <v>99.53</v>
      </c>
    </row>
    <row r="61" spans="1:9">
      <c r="A61" s="2955">
        <v>120.17</v>
      </c>
      <c r="D61" s="2955">
        <v>99.55</v>
      </c>
      <c r="E61" s="2955">
        <v>123.53</v>
      </c>
      <c r="G61" s="2955">
        <v>99.56</v>
      </c>
      <c r="H61" s="2955">
        <v>99.72</v>
      </c>
      <c r="I61" s="2955">
        <v>99.53</v>
      </c>
    </row>
    <row r="62" spans="1:9">
      <c r="A62" s="2955">
        <v>125.12</v>
      </c>
      <c r="D62" s="2955">
        <v>99.55</v>
      </c>
      <c r="E62" s="2955">
        <v>125.31</v>
      </c>
      <c r="G62" s="2955">
        <v>99.56</v>
      </c>
      <c r="H62" s="2955">
        <v>125.54</v>
      </c>
      <c r="I62" s="2955">
        <v>123.51</v>
      </c>
    </row>
    <row r="63" spans="1:9">
      <c r="A63" s="2955">
        <v>99.39</v>
      </c>
      <c r="D63" s="2955">
        <v>99.55</v>
      </c>
      <c r="E63" s="2955">
        <v>99.55</v>
      </c>
      <c r="G63" s="2955">
        <v>125.33</v>
      </c>
      <c r="H63" s="2955">
        <v>125.54</v>
      </c>
      <c r="I63" s="2955">
        <v>99.53</v>
      </c>
    </row>
    <row r="64" spans="1:9">
      <c r="A64" s="2955">
        <v>121.96</v>
      </c>
      <c r="D64" s="2955">
        <v>99.55</v>
      </c>
      <c r="E64" s="2955">
        <v>123.53</v>
      </c>
      <c r="G64" s="2955">
        <v>125.33</v>
      </c>
      <c r="H64" s="2955">
        <v>99.72</v>
      </c>
      <c r="I64" s="2955">
        <v>125.29</v>
      </c>
    </row>
    <row r="65" spans="1:9">
      <c r="A65" s="2955">
        <v>123.34</v>
      </c>
      <c r="D65" s="2955">
        <v>97.87</v>
      </c>
      <c r="E65" s="2955">
        <v>125.31</v>
      </c>
      <c r="G65" s="2955">
        <v>99.56</v>
      </c>
      <c r="H65" s="2955">
        <v>99.72</v>
      </c>
      <c r="I65" s="2955">
        <v>123.51</v>
      </c>
    </row>
    <row r="66" spans="1:9">
      <c r="A66" s="2955">
        <v>123.34</v>
      </c>
      <c r="D66" s="2955">
        <v>99.55</v>
      </c>
      <c r="E66" s="2955">
        <v>123.53</v>
      </c>
      <c r="G66" s="2955">
        <v>99.56</v>
      </c>
      <c r="H66" s="2955">
        <v>123.75</v>
      </c>
      <c r="I66" s="2955">
        <v>123.51</v>
      </c>
    </row>
    <row r="67" spans="1:9">
      <c r="A67" s="2955">
        <v>99.39</v>
      </c>
      <c r="D67" s="2955">
        <v>99.55</v>
      </c>
      <c r="E67" s="2955">
        <v>99.55</v>
      </c>
      <c r="G67" s="2955">
        <v>125.33</v>
      </c>
      <c r="H67" s="2955">
        <v>125.54</v>
      </c>
      <c r="I67" s="2955">
        <v>99.53</v>
      </c>
    </row>
    <row r="68" spans="1:9">
      <c r="A68" s="2955">
        <v>99.39</v>
      </c>
      <c r="D68" s="2955">
        <v>125.31</v>
      </c>
      <c r="E68" s="2955">
        <v>97.87</v>
      </c>
      <c r="G68" s="2955">
        <v>99.56</v>
      </c>
      <c r="H68" s="2955">
        <v>99.72</v>
      </c>
      <c r="I68" s="2955">
        <v>125.29</v>
      </c>
    </row>
    <row r="69" spans="1:9">
      <c r="A69" s="2955">
        <v>125.12</v>
      </c>
      <c r="D69" s="2955">
        <v>99.55</v>
      </c>
      <c r="E69" s="2955">
        <v>97.87</v>
      </c>
      <c r="G69" s="2955">
        <v>99.56</v>
      </c>
      <c r="H69" s="2955">
        <v>123.75</v>
      </c>
      <c r="I69" s="2955">
        <v>99.53</v>
      </c>
    </row>
    <row r="70" spans="1:9">
      <c r="A70" s="2955">
        <v>125.12</v>
      </c>
      <c r="D70" s="2955">
        <v>123.53</v>
      </c>
      <c r="E70" s="2955">
        <v>99.55</v>
      </c>
      <c r="G70" s="2955">
        <v>97.88</v>
      </c>
      <c r="H70" s="2955">
        <v>99.72</v>
      </c>
      <c r="I70" s="2955">
        <v>123.51</v>
      </c>
    </row>
    <row r="71" spans="1:9">
      <c r="A71" s="2955">
        <v>99.39</v>
      </c>
      <c r="D71" s="2955">
        <v>123.53</v>
      </c>
      <c r="E71" s="2955">
        <v>99.55</v>
      </c>
      <c r="G71" s="2955">
        <v>99.56</v>
      </c>
      <c r="H71" s="2955">
        <v>123.75</v>
      </c>
      <c r="I71" s="2955">
        <v>99.53</v>
      </c>
    </row>
    <row r="72" spans="1:9">
      <c r="A72" s="2955">
        <v>99.39</v>
      </c>
      <c r="D72" s="2955">
        <v>120.35</v>
      </c>
      <c r="E72" s="2955">
        <v>99.55</v>
      </c>
      <c r="G72" s="2955">
        <v>125.33</v>
      </c>
      <c r="H72" s="2955">
        <v>99.72</v>
      </c>
      <c r="I72" s="2955">
        <v>99.53</v>
      </c>
    </row>
    <row r="73" spans="1:9">
      <c r="A73" s="2955">
        <v>125.12</v>
      </c>
      <c r="D73" s="2955">
        <v>99.55</v>
      </c>
      <c r="E73" s="2955">
        <v>120.35</v>
      </c>
      <c r="G73" s="2955">
        <v>125.33</v>
      </c>
      <c r="H73" s="2955">
        <v>123.75</v>
      </c>
      <c r="I73" s="2955">
        <v>123.51</v>
      </c>
    </row>
    <row r="74" spans="1:9">
      <c r="A74" s="2955">
        <v>125.12</v>
      </c>
      <c r="D74" s="2955">
        <v>99.55</v>
      </c>
      <c r="E74" s="2955">
        <v>123.53</v>
      </c>
      <c r="G74" s="2955">
        <v>123.54</v>
      </c>
      <c r="H74" s="2955">
        <v>99.72</v>
      </c>
      <c r="I74" s="2955">
        <v>123.51</v>
      </c>
    </row>
    <row r="75" spans="1:9">
      <c r="A75" s="2955">
        <v>123.34</v>
      </c>
      <c r="D75" s="2955">
        <v>120.35</v>
      </c>
      <c r="E75" s="2955">
        <v>97.87</v>
      </c>
      <c r="G75" s="2955">
        <v>99.56</v>
      </c>
      <c r="H75" s="2955">
        <v>123.75</v>
      </c>
      <c r="I75" s="2955">
        <v>99.53</v>
      </c>
    </row>
    <row r="76" spans="1:9">
      <c r="A76" s="2955">
        <v>123.34</v>
      </c>
      <c r="D76" s="2955">
        <v>122.15</v>
      </c>
      <c r="E76" s="2955">
        <v>99.55</v>
      </c>
      <c r="G76" s="2955">
        <v>123.54</v>
      </c>
      <c r="H76" s="2955">
        <v>125.54</v>
      </c>
      <c r="I76" s="2955">
        <v>123.51</v>
      </c>
    </row>
    <row r="77" spans="1:9">
      <c r="A77" s="2955">
        <v>99.39</v>
      </c>
      <c r="D77" s="2955">
        <v>123.53</v>
      </c>
      <c r="E77" s="2955">
        <v>99.55</v>
      </c>
      <c r="G77" s="2955">
        <v>123.54</v>
      </c>
      <c r="H77" s="2955">
        <v>123.75</v>
      </c>
      <c r="I77" s="2955">
        <v>123.51</v>
      </c>
    </row>
    <row r="78" spans="1:9">
      <c r="A78" s="2955">
        <v>99.39</v>
      </c>
      <c r="D78" s="2955">
        <v>99.55</v>
      </c>
      <c r="E78" s="2955">
        <v>99.55</v>
      </c>
      <c r="G78" s="2955">
        <v>125.33</v>
      </c>
      <c r="H78" s="2955">
        <v>99.72</v>
      </c>
      <c r="I78" s="2955">
        <v>99.53</v>
      </c>
    </row>
    <row r="79" spans="1:9">
      <c r="A79" s="2955">
        <v>99.39</v>
      </c>
      <c r="D79" s="2955">
        <v>99.55</v>
      </c>
      <c r="E79" s="2955">
        <v>99.55</v>
      </c>
      <c r="G79" s="2955">
        <v>99.56</v>
      </c>
      <c r="H79" s="2955">
        <v>123.75</v>
      </c>
      <c r="I79" s="2955">
        <v>125.29</v>
      </c>
    </row>
    <row r="80" spans="1:9">
      <c r="A80" s="2955">
        <v>99.39</v>
      </c>
      <c r="D80" s="2955">
        <v>99.55</v>
      </c>
      <c r="E80" s="2955">
        <v>125.31</v>
      </c>
      <c r="G80" s="2955">
        <v>122.16</v>
      </c>
      <c r="H80" s="2955">
        <v>123.75</v>
      </c>
      <c r="I80" s="2955">
        <v>125.29</v>
      </c>
    </row>
    <row r="81" spans="1:9">
      <c r="A81" s="2955">
        <v>123.34</v>
      </c>
      <c r="D81" s="2955">
        <v>97.87</v>
      </c>
      <c r="E81" s="2955">
        <v>123.53</v>
      </c>
      <c r="G81" s="2955">
        <v>123.54</v>
      </c>
      <c r="H81" s="2955">
        <v>123.75</v>
      </c>
      <c r="I81" s="2955">
        <v>99.53</v>
      </c>
    </row>
    <row r="82" spans="1:9">
      <c r="A82" s="2955">
        <v>125.12</v>
      </c>
      <c r="D82" s="2955">
        <v>99.55</v>
      </c>
      <c r="E82" s="2955">
        <v>99.55</v>
      </c>
      <c r="G82" s="2955">
        <v>125.33</v>
      </c>
      <c r="H82" s="2955">
        <v>99.72</v>
      </c>
      <c r="I82" s="2955">
        <v>120.33</v>
      </c>
    </row>
    <row r="83" spans="1:9">
      <c r="A83" s="2955">
        <v>97.72</v>
      </c>
      <c r="D83" s="2955">
        <v>123.53</v>
      </c>
      <c r="E83" s="2955">
        <v>99.55</v>
      </c>
      <c r="G83" s="3175">
        <f>SUM(G2:G82)</f>
        <v>9025.6700000000073</v>
      </c>
      <c r="H83" s="2955">
        <v>99.72</v>
      </c>
      <c r="I83" s="2955">
        <v>125.29</v>
      </c>
    </row>
    <row r="84" spans="1:9">
      <c r="A84" s="2955">
        <v>123.34</v>
      </c>
      <c r="D84" s="2955">
        <v>99.55</v>
      </c>
      <c r="E84" s="2955">
        <v>123.53</v>
      </c>
      <c r="H84" s="2955">
        <v>125.54</v>
      </c>
      <c r="I84" s="2955">
        <v>125.29</v>
      </c>
    </row>
    <row r="85" spans="1:9">
      <c r="A85" s="2955">
        <v>123.34</v>
      </c>
      <c r="D85" s="2955">
        <v>120.35</v>
      </c>
      <c r="E85" s="2955">
        <v>99.55</v>
      </c>
      <c r="H85" s="2955">
        <v>122.37</v>
      </c>
      <c r="I85" s="2955">
        <v>125.29</v>
      </c>
    </row>
    <row r="86" spans="1:9">
      <c r="A86" s="2955">
        <v>125.12</v>
      </c>
      <c r="D86" s="2955">
        <v>99.55</v>
      </c>
      <c r="E86" s="2955">
        <v>123.53</v>
      </c>
      <c r="H86" s="2955">
        <v>125.54</v>
      </c>
      <c r="I86" s="2955">
        <v>125.29</v>
      </c>
    </row>
    <row r="87" spans="1:9">
      <c r="A87" s="2955">
        <v>99.39</v>
      </c>
      <c r="D87" s="2955">
        <v>120.35</v>
      </c>
      <c r="E87" s="2955">
        <v>99.55</v>
      </c>
      <c r="H87" s="2955">
        <v>120.57</v>
      </c>
      <c r="I87" s="2955">
        <v>99.53</v>
      </c>
    </row>
    <row r="88" spans="1:9">
      <c r="A88" s="2955">
        <v>125.12</v>
      </c>
      <c r="D88" s="2955">
        <v>125.31</v>
      </c>
      <c r="E88" s="2955">
        <v>99.55</v>
      </c>
      <c r="H88" s="2955">
        <v>98.04</v>
      </c>
      <c r="I88" s="2955">
        <v>125.29</v>
      </c>
    </row>
    <row r="89" spans="1:9">
      <c r="A89" s="2955">
        <v>125.12</v>
      </c>
      <c r="D89" s="2955">
        <v>99.55</v>
      </c>
      <c r="E89" s="2955">
        <v>99.55</v>
      </c>
      <c r="H89" s="2955">
        <v>123.75</v>
      </c>
      <c r="I89" s="2955">
        <v>125.29</v>
      </c>
    </row>
    <row r="90" spans="1:9">
      <c r="A90" s="2955">
        <v>99.39</v>
      </c>
      <c r="D90" s="2955">
        <v>99.55</v>
      </c>
      <c r="E90" s="2955">
        <v>123.53</v>
      </c>
      <c r="H90" s="2955">
        <v>122.37</v>
      </c>
      <c r="I90" s="2955">
        <v>125.29</v>
      </c>
    </row>
    <row r="91" spans="1:9">
      <c r="A91" s="2955">
        <v>97.72</v>
      </c>
      <c r="D91" s="2955">
        <v>99.55</v>
      </c>
      <c r="E91" s="2955">
        <v>99.55</v>
      </c>
      <c r="H91" s="2955">
        <v>125.54</v>
      </c>
      <c r="I91" s="2955">
        <v>125.29</v>
      </c>
    </row>
    <row r="92" spans="1:9">
      <c r="A92" s="2955">
        <v>123.34</v>
      </c>
      <c r="D92" s="2955">
        <v>125.31</v>
      </c>
      <c r="E92" s="2955">
        <v>122.15</v>
      </c>
      <c r="H92" s="2955">
        <v>123.75</v>
      </c>
      <c r="I92" s="2955">
        <v>99.53</v>
      </c>
    </row>
    <row r="93" spans="1:9">
      <c r="A93" s="2955">
        <v>123.34</v>
      </c>
      <c r="D93" s="2955">
        <v>99.55</v>
      </c>
      <c r="E93" s="2955">
        <v>99.55</v>
      </c>
      <c r="H93" s="2955">
        <v>123.75</v>
      </c>
      <c r="I93" s="2955">
        <v>99.53</v>
      </c>
    </row>
    <row r="94" spans="1:9">
      <c r="A94" s="2955">
        <v>125.12</v>
      </c>
      <c r="D94" s="2955">
        <v>97.87</v>
      </c>
      <c r="E94" s="2955">
        <v>97.87</v>
      </c>
      <c r="H94" s="2955">
        <v>125.54</v>
      </c>
      <c r="I94" s="2955">
        <v>97.85</v>
      </c>
    </row>
    <row r="95" spans="1:9">
      <c r="A95" s="2955">
        <v>125.12</v>
      </c>
      <c r="D95" s="2955">
        <v>123.53</v>
      </c>
      <c r="E95" s="2955">
        <v>125.31</v>
      </c>
      <c r="H95" s="2955">
        <v>98.04</v>
      </c>
      <c r="I95" s="2955">
        <v>99.53</v>
      </c>
    </row>
    <row r="96" spans="1:9">
      <c r="A96" s="2955">
        <v>123.34</v>
      </c>
      <c r="D96" s="2955">
        <v>123.53</v>
      </c>
      <c r="E96" s="2955">
        <v>99.55</v>
      </c>
      <c r="H96" s="3175">
        <f>SUM(H2:H95)</f>
        <v>10426.530000000006</v>
      </c>
      <c r="I96" s="2955">
        <v>125.29</v>
      </c>
    </row>
    <row r="97" spans="1:9">
      <c r="A97" s="2955">
        <v>123.34</v>
      </c>
      <c r="D97" s="2955">
        <v>125.31</v>
      </c>
      <c r="E97" s="2955">
        <v>125.31</v>
      </c>
      <c r="I97" s="2955">
        <v>99.53</v>
      </c>
    </row>
    <row r="98" spans="1:9">
      <c r="A98" s="2955">
        <v>125.12</v>
      </c>
      <c r="D98" s="2955">
        <v>123.53</v>
      </c>
      <c r="E98" s="2955">
        <v>99.55</v>
      </c>
      <c r="I98" s="2955">
        <v>123.51</v>
      </c>
    </row>
    <row r="99" spans="1:9">
      <c r="A99" s="2955">
        <v>123.34</v>
      </c>
      <c r="D99" s="2955">
        <v>99.55</v>
      </c>
      <c r="E99" s="2955">
        <v>99.55</v>
      </c>
      <c r="I99" s="2955">
        <v>123.51</v>
      </c>
    </row>
    <row r="100" spans="1:9">
      <c r="A100" s="3174">
        <f>SUM(A2:A99)</f>
        <v>10888.850000000008</v>
      </c>
      <c r="D100" s="2955">
        <v>123.53</v>
      </c>
      <c r="E100" s="2955">
        <v>123.53</v>
      </c>
      <c r="I100" s="2955">
        <v>125.29</v>
      </c>
    </row>
    <row r="101" spans="1:9">
      <c r="A101" s="2955"/>
      <c r="D101" s="2955">
        <v>123.53</v>
      </c>
      <c r="E101" s="2955">
        <v>99.55</v>
      </c>
      <c r="I101" s="2955">
        <v>99.53</v>
      </c>
    </row>
    <row r="102" spans="1:9">
      <c r="A102" s="2955"/>
      <c r="D102" s="2955">
        <v>99.55</v>
      </c>
      <c r="E102" s="2955">
        <v>99.55</v>
      </c>
      <c r="I102" s="2955">
        <v>97.85</v>
      </c>
    </row>
    <row r="103" spans="1:9">
      <c r="A103" s="2955"/>
      <c r="D103" s="2955">
        <v>99.55</v>
      </c>
      <c r="E103" s="2955">
        <v>123.53</v>
      </c>
      <c r="I103" s="2955">
        <v>125.29</v>
      </c>
    </row>
    <row r="104" spans="1:9">
      <c r="A104" s="2955"/>
      <c r="D104" s="2955">
        <v>99.55</v>
      </c>
      <c r="E104" s="2955">
        <v>125.31</v>
      </c>
      <c r="I104" s="2955">
        <v>99.53</v>
      </c>
    </row>
    <row r="105" spans="1:9">
      <c r="A105" s="2955"/>
      <c r="D105" s="2955">
        <v>97.87</v>
      </c>
      <c r="E105" s="2955">
        <v>99.55</v>
      </c>
      <c r="I105" s="2955">
        <v>97.85</v>
      </c>
    </row>
    <row r="106" spans="1:9">
      <c r="A106" s="2955"/>
      <c r="D106" s="2955">
        <v>99.55</v>
      </c>
      <c r="E106" s="2955">
        <v>123.53</v>
      </c>
      <c r="I106" s="3175">
        <f>SUM(I2:I105)</f>
        <v>11624.960000000021</v>
      </c>
    </row>
    <row r="107" spans="1:9">
      <c r="A107" s="2955"/>
      <c r="D107" s="2955">
        <v>123.53</v>
      </c>
      <c r="E107" s="2955">
        <v>120.35</v>
      </c>
    </row>
    <row r="108" spans="1:9">
      <c r="A108" s="2955"/>
      <c r="D108" s="2955">
        <v>122.15</v>
      </c>
      <c r="E108" s="2955">
        <v>99.55</v>
      </c>
    </row>
    <row r="109" spans="1:9">
      <c r="D109" s="2955">
        <v>99.55</v>
      </c>
      <c r="E109" s="2955">
        <v>99.55</v>
      </c>
    </row>
    <row r="110" spans="1:9">
      <c r="D110" s="3175">
        <f>SUM(D2:D109)</f>
        <v>11981.859999999999</v>
      </c>
      <c r="E110" s="2955">
        <v>123.53</v>
      </c>
    </row>
    <row r="111" spans="1:9">
      <c r="E111" s="2955">
        <v>97.87</v>
      </c>
    </row>
    <row r="112" spans="1:9">
      <c r="E112" s="2955">
        <v>97.87</v>
      </c>
    </row>
    <row r="113" spans="5:5">
      <c r="E113" s="2955">
        <v>125.31</v>
      </c>
    </row>
    <row r="114" spans="5:5">
      <c r="E114" s="2955">
        <v>125.31</v>
      </c>
    </row>
    <row r="115" spans="5:5">
      <c r="E115" s="2955">
        <v>97.87</v>
      </c>
    </row>
    <row r="116" spans="5:5">
      <c r="E116" s="2955">
        <v>99.55</v>
      </c>
    </row>
    <row r="117" spans="5:5">
      <c r="E117" s="2955">
        <v>99.55</v>
      </c>
    </row>
    <row r="118" spans="5:5">
      <c r="E118" s="3175">
        <f>SUM(E2:E117)</f>
        <v>12951.459999999995</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M24" sqref="M24"/>
    </sheetView>
  </sheetViews>
  <sheetFormatPr defaultRowHeight="13.5"/>
  <cols>
    <col min="5" max="5" width="24.125" bestFit="1" customWidth="1"/>
  </cols>
  <sheetData>
    <row r="1" spans="1:17">
      <c r="A1" s="2955" t="s">
        <v>4112</v>
      </c>
      <c r="B1" s="2955" t="s">
        <v>4113</v>
      </c>
      <c r="C1" s="2955" t="s">
        <v>4114</v>
      </c>
      <c r="D1" s="2955" t="s">
        <v>4115</v>
      </c>
      <c r="E1" s="2955" t="s">
        <v>4116</v>
      </c>
      <c r="F1" s="2955" t="s">
        <v>4117</v>
      </c>
      <c r="G1" s="2955" t="s">
        <v>4118</v>
      </c>
      <c r="H1" s="2955" t="s">
        <v>2032</v>
      </c>
      <c r="I1" s="2955" t="s">
        <v>4119</v>
      </c>
      <c r="J1" s="2955" t="s">
        <v>4120</v>
      </c>
      <c r="K1" s="2955" t="s">
        <v>4121</v>
      </c>
      <c r="L1" s="2955" t="s">
        <v>4122</v>
      </c>
      <c r="M1" s="2955" t="s">
        <v>4123</v>
      </c>
      <c r="N1" s="2955" t="s">
        <v>4124</v>
      </c>
      <c r="O1" s="2955" t="s">
        <v>4125</v>
      </c>
      <c r="P1" s="2955" t="s">
        <v>4126</v>
      </c>
      <c r="Q1" s="2955" t="s">
        <v>4127</v>
      </c>
    </row>
    <row r="2" spans="1:17" s="3202" customFormat="1">
      <c r="A2" s="3233" t="s">
        <v>4128</v>
      </c>
      <c r="B2" s="3233" t="s">
        <v>4129</v>
      </c>
      <c r="C2" s="3233" t="s">
        <v>4130</v>
      </c>
      <c r="D2" s="3233" t="s">
        <v>4131</v>
      </c>
      <c r="E2" s="3233" t="s">
        <v>4132</v>
      </c>
      <c r="F2" s="3233">
        <v>146781.1</v>
      </c>
      <c r="G2" s="3233">
        <v>276930.8</v>
      </c>
      <c r="H2" s="3233" t="s">
        <v>4133</v>
      </c>
      <c r="I2" s="3233" t="s">
        <v>2819</v>
      </c>
      <c r="J2" s="3233" t="s">
        <v>4134</v>
      </c>
      <c r="K2" s="3233" t="s">
        <v>4135</v>
      </c>
      <c r="L2" s="3233" t="s">
        <v>4136</v>
      </c>
      <c r="M2" s="3233">
        <v>340000</v>
      </c>
      <c r="N2" s="3233">
        <v>12277.44</v>
      </c>
      <c r="O2" s="3233" t="s">
        <v>2819</v>
      </c>
      <c r="P2" s="3233">
        <v>0</v>
      </c>
      <c r="Q2" s="3233" t="s">
        <v>4137</v>
      </c>
    </row>
    <row r="3" spans="1:17" s="3231" customFormat="1">
      <c r="A3" s="3230" t="s">
        <v>4138</v>
      </c>
      <c r="B3" s="3230" t="s">
        <v>4129</v>
      </c>
      <c r="C3" s="3230" t="s">
        <v>4130</v>
      </c>
      <c r="D3" s="3230" t="s">
        <v>4131</v>
      </c>
      <c r="E3" s="3230" t="s">
        <v>4139</v>
      </c>
      <c r="F3" s="3230">
        <v>129903.8</v>
      </c>
      <c r="G3" s="3230">
        <v>253254.2</v>
      </c>
      <c r="H3" s="3230" t="s">
        <v>4140</v>
      </c>
      <c r="I3" s="3230">
        <v>27000</v>
      </c>
      <c r="J3" s="3230" t="s">
        <v>4141</v>
      </c>
      <c r="K3" s="3230" t="s">
        <v>4135</v>
      </c>
      <c r="L3" s="3230" t="s">
        <v>4142</v>
      </c>
      <c r="M3" s="3230">
        <v>460000</v>
      </c>
      <c r="N3" s="3230">
        <v>18163.560000000001</v>
      </c>
      <c r="O3" s="3230">
        <v>20331</v>
      </c>
      <c r="P3" s="3230">
        <v>21.05</v>
      </c>
      <c r="Q3" s="3230" t="s">
        <v>4143</v>
      </c>
    </row>
    <row r="4" spans="1:17">
      <c r="A4" s="2955" t="s">
        <v>4144</v>
      </c>
      <c r="B4" s="2955" t="s">
        <v>4129</v>
      </c>
      <c r="C4" s="2955" t="s">
        <v>4130</v>
      </c>
      <c r="D4" s="2955" t="s">
        <v>4131</v>
      </c>
      <c r="E4" s="2955" t="s">
        <v>4145</v>
      </c>
      <c r="F4" s="2955">
        <v>131954.29999999999</v>
      </c>
      <c r="G4" s="2955">
        <v>214116</v>
      </c>
      <c r="H4" s="2955" t="s">
        <v>4146</v>
      </c>
      <c r="I4" s="2955" t="s">
        <v>2819</v>
      </c>
      <c r="J4" s="2955" t="s">
        <v>4147</v>
      </c>
      <c r="K4" s="2955" t="s">
        <v>4148</v>
      </c>
      <c r="L4" s="2955" t="s">
        <v>4149</v>
      </c>
      <c r="M4" s="2955">
        <v>59406</v>
      </c>
      <c r="N4" s="2955">
        <v>2774.48</v>
      </c>
      <c r="O4" s="2955" t="s">
        <v>2819</v>
      </c>
      <c r="P4" s="2955">
        <v>0</v>
      </c>
      <c r="Q4" s="2955" t="s">
        <v>4150</v>
      </c>
    </row>
    <row r="5" spans="1:17" s="3231" customFormat="1">
      <c r="A5" s="3230" t="s">
        <v>4151</v>
      </c>
      <c r="B5" s="3230" t="s">
        <v>4129</v>
      </c>
      <c r="C5" s="3230" t="s">
        <v>4130</v>
      </c>
      <c r="D5" s="3230" t="s">
        <v>4131</v>
      </c>
      <c r="E5" s="3232" t="s">
        <v>4152</v>
      </c>
      <c r="F5" s="3230">
        <v>98262.8</v>
      </c>
      <c r="G5" s="3230">
        <v>177722.8</v>
      </c>
      <c r="H5" s="3230" t="s">
        <v>4153</v>
      </c>
      <c r="I5" s="3230" t="s">
        <v>2819</v>
      </c>
      <c r="J5" s="3230" t="s">
        <v>4147</v>
      </c>
      <c r="K5" s="3230" t="s">
        <v>4148</v>
      </c>
      <c r="L5" s="3230" t="s">
        <v>4154</v>
      </c>
      <c r="M5" s="3230">
        <v>295000</v>
      </c>
      <c r="N5" s="3230">
        <v>16598.88</v>
      </c>
      <c r="O5" s="3230" t="s">
        <v>2819</v>
      </c>
      <c r="P5" s="3230">
        <v>17.059999999999999</v>
      </c>
      <c r="Q5" s="3230" t="s">
        <v>4143</v>
      </c>
    </row>
    <row r="6" spans="1:17">
      <c r="A6" s="2955" t="s">
        <v>4155</v>
      </c>
      <c r="B6" s="2955" t="s">
        <v>4129</v>
      </c>
      <c r="C6" s="2955" t="s">
        <v>4130</v>
      </c>
      <c r="D6" s="2955" t="s">
        <v>4131</v>
      </c>
      <c r="E6" s="2955" t="s">
        <v>4156</v>
      </c>
      <c r="F6" s="2955">
        <v>73568.3</v>
      </c>
      <c r="G6" s="2955">
        <v>96852.6</v>
      </c>
      <c r="H6" s="2955" t="s">
        <v>4157</v>
      </c>
      <c r="I6" s="2955" t="s">
        <v>2819</v>
      </c>
      <c r="J6" s="2955" t="s">
        <v>4158</v>
      </c>
      <c r="K6" s="2955" t="s">
        <v>4159</v>
      </c>
      <c r="L6" s="2955" t="s">
        <v>4160</v>
      </c>
      <c r="M6" s="2955">
        <v>53937</v>
      </c>
      <c r="N6" s="2955">
        <v>5568.97</v>
      </c>
      <c r="O6" s="2955" t="s">
        <v>2819</v>
      </c>
      <c r="P6" s="2955">
        <v>50</v>
      </c>
      <c r="Q6" s="2955" t="s">
        <v>4143</v>
      </c>
    </row>
    <row r="7" spans="1:17" s="3202" customFormat="1">
      <c r="A7" s="3233" t="s">
        <v>4161</v>
      </c>
      <c r="B7" s="3233" t="s">
        <v>4129</v>
      </c>
      <c r="C7" s="3233" t="s">
        <v>4130</v>
      </c>
      <c r="D7" s="3233" t="s">
        <v>4131</v>
      </c>
      <c r="E7" s="3233" t="s">
        <v>4162</v>
      </c>
      <c r="F7" s="3233">
        <v>18468.8</v>
      </c>
      <c r="G7" s="3233">
        <v>36937.599999999999</v>
      </c>
      <c r="H7" s="3233" t="s">
        <v>4163</v>
      </c>
      <c r="I7" s="3233" t="s">
        <v>2819</v>
      </c>
      <c r="J7" s="3233" t="s">
        <v>2819</v>
      </c>
      <c r="K7" s="3233" t="s">
        <v>4164</v>
      </c>
      <c r="L7" s="3233" t="s">
        <v>4165</v>
      </c>
      <c r="M7" s="3233">
        <v>62000</v>
      </c>
      <c r="N7" s="3233">
        <v>16785.060000000001</v>
      </c>
      <c r="O7" s="3233" t="s">
        <v>2819</v>
      </c>
      <c r="P7" s="3233">
        <v>1.64</v>
      </c>
      <c r="Q7" s="3233" t="s">
        <v>4166</v>
      </c>
    </row>
    <row r="8" spans="1:17" s="3231" customFormat="1">
      <c r="A8" s="3230" t="s">
        <v>4167</v>
      </c>
      <c r="B8" s="3230" t="s">
        <v>4129</v>
      </c>
      <c r="C8" s="3230" t="s">
        <v>4130</v>
      </c>
      <c r="D8" s="3230" t="s">
        <v>4131</v>
      </c>
      <c r="E8" s="3230" t="s">
        <v>4168</v>
      </c>
      <c r="F8" s="3230">
        <v>63480.1</v>
      </c>
      <c r="G8" s="3230">
        <v>108712.6</v>
      </c>
      <c r="H8" s="3230" t="s">
        <v>4169</v>
      </c>
      <c r="I8" s="3230" t="s">
        <v>2819</v>
      </c>
      <c r="J8" s="3230" t="s">
        <v>2819</v>
      </c>
      <c r="K8" s="3230" t="s">
        <v>4170</v>
      </c>
      <c r="L8" s="3230" t="s">
        <v>4171</v>
      </c>
      <c r="M8" s="3230">
        <v>190000</v>
      </c>
      <c r="N8" s="3230">
        <v>17477.27</v>
      </c>
      <c r="O8" s="3230" t="s">
        <v>2819</v>
      </c>
      <c r="P8" s="3230">
        <v>0</v>
      </c>
      <c r="Q8" s="3230" t="s">
        <v>4166</v>
      </c>
    </row>
    <row r="9" spans="1:17">
      <c r="A9" s="2955" t="s">
        <v>4172</v>
      </c>
      <c r="B9" s="2955" t="s">
        <v>4129</v>
      </c>
      <c r="C9" s="2955" t="s">
        <v>4130</v>
      </c>
      <c r="D9" s="2955" t="s">
        <v>4131</v>
      </c>
      <c r="E9" s="2955" t="s">
        <v>4173</v>
      </c>
      <c r="F9" s="2955">
        <v>118839.2</v>
      </c>
      <c r="G9" s="2955">
        <v>196030.3</v>
      </c>
      <c r="H9" s="2955" t="s">
        <v>4174</v>
      </c>
      <c r="I9" s="2955" t="s">
        <v>2819</v>
      </c>
      <c r="J9" s="2955" t="s">
        <v>2819</v>
      </c>
      <c r="K9" s="2955" t="s">
        <v>4170</v>
      </c>
      <c r="L9" s="2955" t="s">
        <v>4175</v>
      </c>
      <c r="M9" s="2955">
        <v>361000</v>
      </c>
      <c r="N9" s="2955">
        <v>18415.52</v>
      </c>
      <c r="O9" s="2955" t="s">
        <v>2819</v>
      </c>
      <c r="P9" s="2955">
        <v>0.28000000000000003</v>
      </c>
      <c r="Q9" s="2955" t="s">
        <v>4176</v>
      </c>
    </row>
    <row r="10" spans="1:17">
      <c r="A10" s="2955" t="s">
        <v>4177</v>
      </c>
      <c r="B10" s="2955" t="s">
        <v>4129</v>
      </c>
      <c r="C10" s="2955" t="s">
        <v>4130</v>
      </c>
      <c r="D10" s="2955" t="s">
        <v>4131</v>
      </c>
      <c r="E10" s="2955" t="s">
        <v>4178</v>
      </c>
      <c r="F10" s="2955">
        <v>122036.3</v>
      </c>
      <c r="G10" s="2955">
        <v>218442.8</v>
      </c>
      <c r="H10" s="2955" t="s">
        <v>4179</v>
      </c>
      <c r="I10" s="2955" t="s">
        <v>2819</v>
      </c>
      <c r="J10" s="2955" t="s">
        <v>2819</v>
      </c>
      <c r="K10" s="2955" t="s">
        <v>4180</v>
      </c>
      <c r="L10" s="2955" t="s">
        <v>4181</v>
      </c>
      <c r="M10" s="2955">
        <v>270000</v>
      </c>
      <c r="N10" s="2955">
        <v>12360.21</v>
      </c>
      <c r="O10" s="2955" t="s">
        <v>2819</v>
      </c>
      <c r="P10" s="2955">
        <v>76.47</v>
      </c>
      <c r="Q10" s="2955" t="s">
        <v>4182</v>
      </c>
    </row>
    <row r="11" spans="1:17">
      <c r="A11" s="2955" t="s">
        <v>4183</v>
      </c>
      <c r="B11" s="2955" t="s">
        <v>4129</v>
      </c>
      <c r="C11" s="2955" t="s">
        <v>4130</v>
      </c>
      <c r="D11" s="2955" t="s">
        <v>4131</v>
      </c>
      <c r="E11" s="2955" t="s">
        <v>4184</v>
      </c>
      <c r="F11" s="2955">
        <v>124869.3</v>
      </c>
      <c r="G11" s="2955">
        <v>276395.5</v>
      </c>
      <c r="H11" s="2955" t="s">
        <v>4185</v>
      </c>
      <c r="I11" s="2955" t="s">
        <v>2819</v>
      </c>
      <c r="J11" s="2955" t="s">
        <v>2819</v>
      </c>
      <c r="K11" s="2955" t="s">
        <v>4186</v>
      </c>
      <c r="L11" s="2955" t="s">
        <v>4187</v>
      </c>
      <c r="M11" s="2955">
        <v>206000</v>
      </c>
      <c r="N11" s="2955">
        <v>7453.09</v>
      </c>
      <c r="O11" s="2955" t="s">
        <v>2819</v>
      </c>
      <c r="P11" s="2955">
        <v>69.13</v>
      </c>
      <c r="Q11" s="2955" t="s">
        <v>4188</v>
      </c>
    </row>
    <row r="12" spans="1:17">
      <c r="A12" s="2955" t="s">
        <v>4189</v>
      </c>
      <c r="B12" s="2955" t="s">
        <v>4129</v>
      </c>
      <c r="C12" s="2955" t="s">
        <v>4130</v>
      </c>
      <c r="D12" s="2955" t="s">
        <v>4131</v>
      </c>
      <c r="E12" s="2955" t="s">
        <v>4190</v>
      </c>
      <c r="F12" s="2955">
        <v>285566.09999999998</v>
      </c>
      <c r="G12" s="2955">
        <v>504031.4</v>
      </c>
      <c r="H12" s="2955" t="s">
        <v>4191</v>
      </c>
      <c r="I12" s="2955" t="s">
        <v>2819</v>
      </c>
      <c r="J12" s="2955" t="s">
        <v>2819</v>
      </c>
      <c r="K12" s="2955" t="s">
        <v>4192</v>
      </c>
      <c r="L12" s="2955" t="s">
        <v>4193</v>
      </c>
      <c r="M12" s="2955">
        <v>262790</v>
      </c>
      <c r="N12" s="2955">
        <v>5213.76</v>
      </c>
      <c r="O12" s="2955" t="s">
        <v>2819</v>
      </c>
      <c r="P12" s="2955">
        <v>0</v>
      </c>
      <c r="Q12" s="2955" t="s">
        <v>4194</v>
      </c>
    </row>
    <row r="13" spans="1:17">
      <c r="A13" s="2955" t="s">
        <v>4195</v>
      </c>
      <c r="B13" s="2955" t="s">
        <v>4129</v>
      </c>
      <c r="C13" s="2955" t="s">
        <v>4130</v>
      </c>
      <c r="D13" s="2955" t="s">
        <v>4131</v>
      </c>
      <c r="E13" s="2955" t="s">
        <v>4196</v>
      </c>
      <c r="F13" s="2955">
        <v>74254.600000000006</v>
      </c>
      <c r="G13" s="2955">
        <v>142997.4</v>
      </c>
      <c r="H13" s="2955" t="s">
        <v>4197</v>
      </c>
      <c r="I13" s="2955" t="s">
        <v>2819</v>
      </c>
      <c r="J13" s="2955" t="s">
        <v>2819</v>
      </c>
      <c r="K13" s="2955" t="s">
        <v>4198</v>
      </c>
      <c r="L13" s="2955" t="s">
        <v>4199</v>
      </c>
      <c r="M13" s="2955">
        <v>86300</v>
      </c>
      <c r="N13" s="2955">
        <v>6035.06</v>
      </c>
      <c r="O13" s="2955" t="s">
        <v>2819</v>
      </c>
      <c r="P13" s="2955">
        <v>0.35</v>
      </c>
      <c r="Q13" s="2955" t="s">
        <v>4143</v>
      </c>
    </row>
    <row r="14" spans="1:17">
      <c r="A14" s="2955" t="s">
        <v>4200</v>
      </c>
      <c r="B14" s="2955" t="s">
        <v>4129</v>
      </c>
      <c r="C14" s="2955" t="s">
        <v>4130</v>
      </c>
      <c r="D14" s="2955" t="s">
        <v>4131</v>
      </c>
      <c r="E14" s="2955" t="s">
        <v>4201</v>
      </c>
      <c r="F14" s="2955">
        <v>129309</v>
      </c>
      <c r="G14" s="2955">
        <v>229921.3</v>
      </c>
      <c r="H14" s="2955" t="s">
        <v>4202</v>
      </c>
      <c r="I14" s="2955" t="s">
        <v>2819</v>
      </c>
      <c r="J14" s="2955" t="s">
        <v>2819</v>
      </c>
      <c r="K14" s="2955" t="s">
        <v>4203</v>
      </c>
      <c r="L14" s="2955" t="s">
        <v>4204</v>
      </c>
      <c r="M14" s="2955">
        <v>180000</v>
      </c>
      <c r="N14" s="2955">
        <v>7828.77</v>
      </c>
      <c r="O14" s="2955" t="s">
        <v>2819</v>
      </c>
      <c r="P14" s="2955">
        <v>43.2</v>
      </c>
      <c r="Q14" s="2955" t="s">
        <v>4194</v>
      </c>
    </row>
    <row r="15" spans="1:17">
      <c r="A15" s="2955" t="s">
        <v>4205</v>
      </c>
      <c r="B15" s="2955" t="s">
        <v>4129</v>
      </c>
      <c r="C15" s="2955" t="s">
        <v>4130</v>
      </c>
      <c r="D15" s="2955" t="s">
        <v>4131</v>
      </c>
      <c r="E15" s="2955" t="s">
        <v>4206</v>
      </c>
      <c r="F15" s="2955">
        <v>88064.5</v>
      </c>
      <c r="G15" s="2955">
        <v>161635</v>
      </c>
      <c r="H15" s="2955" t="s">
        <v>4207</v>
      </c>
      <c r="I15" s="2955" t="s">
        <v>2819</v>
      </c>
      <c r="J15" s="2955" t="s">
        <v>2819</v>
      </c>
      <c r="K15" s="2955" t="s">
        <v>4208</v>
      </c>
      <c r="L15" s="2955" t="s">
        <v>4209</v>
      </c>
      <c r="M15" s="2955">
        <v>124000</v>
      </c>
      <c r="N15" s="2955">
        <v>7671.6</v>
      </c>
      <c r="O15" s="2955" t="s">
        <v>2819</v>
      </c>
      <c r="P15" s="2955">
        <v>38.549999999999997</v>
      </c>
      <c r="Q15" s="2955" t="s">
        <v>4194</v>
      </c>
    </row>
    <row r="16" spans="1:17">
      <c r="A16" s="2955" t="s">
        <v>4195</v>
      </c>
      <c r="B16" s="2955" t="s">
        <v>4129</v>
      </c>
      <c r="C16" s="2955" t="s">
        <v>4130</v>
      </c>
      <c r="D16" s="2955" t="s">
        <v>4131</v>
      </c>
      <c r="E16" s="2955" t="s">
        <v>4210</v>
      </c>
      <c r="F16" s="2955">
        <v>107118.3</v>
      </c>
      <c r="G16" s="2955">
        <v>176322.8</v>
      </c>
      <c r="H16" s="2955" t="s">
        <v>4211</v>
      </c>
      <c r="I16" s="2955" t="s">
        <v>2819</v>
      </c>
      <c r="J16" s="2955" t="s">
        <v>2819</v>
      </c>
      <c r="K16" s="2955" t="s">
        <v>4212</v>
      </c>
      <c r="L16" s="2955" t="s">
        <v>4213</v>
      </c>
      <c r="M16" s="2955">
        <v>110000</v>
      </c>
      <c r="N16" s="2955">
        <v>6238.56</v>
      </c>
      <c r="O16" s="2955" t="s">
        <v>2819</v>
      </c>
      <c r="P16" s="2955">
        <v>0</v>
      </c>
      <c r="Q16" s="2955" t="s">
        <v>4214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1" t="s">
        <v>2038</v>
      </c>
      <c r="B1" s="3311"/>
      <c r="C1" s="3311"/>
      <c r="D1" s="3311"/>
      <c r="E1" s="3311"/>
      <c r="F1" s="3311"/>
      <c r="G1" s="3311"/>
      <c r="H1" s="3311"/>
      <c r="I1" s="3311"/>
      <c r="J1" s="3311"/>
      <c r="K1" s="3311"/>
      <c r="L1" s="3311"/>
      <c r="M1" s="3311"/>
      <c r="N1" s="3311"/>
      <c r="O1" s="3311"/>
      <c r="P1" s="3311"/>
      <c r="Q1" s="3311"/>
      <c r="R1" s="3311"/>
    </row>
    <row r="2" spans="1:18">
      <c r="A2" s="1801" t="s">
        <v>2040</v>
      </c>
      <c r="B2" s="1801"/>
      <c r="C2" s="1801"/>
      <c r="D2" s="1801"/>
      <c r="E2" s="1801"/>
      <c r="F2" s="1801"/>
      <c r="G2" s="1801"/>
      <c r="H2" s="1801"/>
      <c r="I2" s="1802"/>
      <c r="J2" s="1802"/>
      <c r="K2" s="1803" t="str">
        <f>"估价期日："&amp;TEXT(项目基本情况!D3,"yyyy年m月d日;;")</f>
        <v>估价期日：2018年8月1日</v>
      </c>
      <c r="L2" s="1801"/>
      <c r="M2" s="1801"/>
      <c r="N2" s="1801"/>
      <c r="O2" s="1801"/>
      <c r="P2" s="1801"/>
      <c r="Q2" s="1801"/>
      <c r="R2" s="1803" t="str">
        <f>"估价期日的国有建设用地使用权性质："&amp;项目基本情况!B16</f>
        <v>估价期日的国有建设用地使用权性质：出让</v>
      </c>
    </row>
    <row r="3" spans="1:18" ht="23.25" customHeight="1">
      <c r="A3" s="3312" t="s">
        <v>2029</v>
      </c>
      <c r="B3" s="3312" t="s">
        <v>2732</v>
      </c>
      <c r="C3" s="3313" t="s">
        <v>2030</v>
      </c>
      <c r="D3" s="3312" t="s">
        <v>2736</v>
      </c>
      <c r="E3" s="3315" t="s">
        <v>2031</v>
      </c>
      <c r="F3" s="3315"/>
      <c r="G3" s="3315"/>
      <c r="H3" s="3315" t="s">
        <v>2032</v>
      </c>
      <c r="I3" s="3315"/>
      <c r="J3" s="3315"/>
      <c r="K3" s="3313" t="s">
        <v>2033</v>
      </c>
      <c r="L3" s="3313" t="s">
        <v>2034</v>
      </c>
      <c r="M3" s="3312" t="s">
        <v>2733</v>
      </c>
      <c r="N3" s="3314" t="str">
        <f>"（分摊）"&amp;项目基本情况!B16&amp;"国有建设用地使用权面积/㎡"</f>
        <v>（分摊）出让国有建设用地使用权面积/㎡</v>
      </c>
      <c r="O3" s="3312" t="s">
        <v>2063</v>
      </c>
      <c r="P3" s="3313" t="s">
        <v>2043</v>
      </c>
      <c r="Q3" s="3313" t="s">
        <v>2064</v>
      </c>
      <c r="R3" s="3313" t="s">
        <v>2035</v>
      </c>
    </row>
    <row r="4" spans="1:18" ht="36.75" customHeight="1">
      <c r="A4" s="3312"/>
      <c r="B4" s="3312"/>
      <c r="C4" s="3313"/>
      <c r="D4" s="3312"/>
      <c r="E4" s="2665" t="s">
        <v>2042</v>
      </c>
      <c r="F4" s="2665" t="s">
        <v>2745</v>
      </c>
      <c r="G4" s="2665" t="s">
        <v>2036</v>
      </c>
      <c r="H4" s="2665" t="s">
        <v>2037</v>
      </c>
      <c r="I4" s="2665" t="s">
        <v>2746</v>
      </c>
      <c r="J4" s="2665" t="s">
        <v>2036</v>
      </c>
      <c r="K4" s="3313"/>
      <c r="L4" s="3313"/>
      <c r="M4" s="3312"/>
      <c r="N4" s="3314"/>
      <c r="O4" s="3312"/>
      <c r="P4" s="3313"/>
      <c r="Q4" s="3313"/>
      <c r="R4" s="3313"/>
    </row>
    <row r="5" spans="1:18" ht="135" customHeight="1">
      <c r="A5" s="1937" t="s">
        <v>2656</v>
      </c>
      <c r="B5" s="2883" t="s">
        <v>2654</v>
      </c>
      <c r="C5" s="2664">
        <v>22</v>
      </c>
      <c r="D5" s="2663" t="s">
        <v>2655</v>
      </c>
      <c r="E5" s="1804" t="str">
        <f>项目基本情况!B12</f>
        <v>城镇住宅</v>
      </c>
      <c r="F5" s="2663">
        <v>258</v>
      </c>
      <c r="G5" s="1804" t="str">
        <f>项目基本情况!B13</f>
        <v>住宅、商业、地下车库</v>
      </c>
      <c r="H5" s="2663">
        <v>1.5</v>
      </c>
      <c r="I5" s="2663">
        <v>1.5</v>
      </c>
      <c r="J5" s="2663">
        <v>1.5</v>
      </c>
      <c r="K5" s="1804" t="str">
        <f>"红线外"&amp;项目基本情况!T40&amp;"、宗地红线内"&amp;项目基本情况!B35</f>
        <v>红线外七通、宗地红线内宗地内已开工建设</v>
      </c>
      <c r="L5" s="1804" t="str">
        <f>"红线外"&amp;项目基本情况!T40&amp;"、宗地红线内场地"&amp;项目基本情况!D36</f>
        <v>红线外七通、宗地红线内场地</v>
      </c>
      <c r="M5" s="1804" t="str">
        <f>IF(项目基本情况!B16="出让",项目基本情况!D20,"——")</f>
        <v>住宅68.4年、商业38.4年、地下车库48.4年</v>
      </c>
      <c r="N5" s="1804">
        <f>项目基本情况!C22</f>
        <v>69493.679999999993</v>
      </c>
      <c r="O5" s="1804">
        <f>项目基本情况!C21</f>
        <v>165200.35999999996</v>
      </c>
      <c r="P5" s="1804">
        <f ca="1">结果表!E42</f>
        <v>21075</v>
      </c>
      <c r="Q5" s="1804">
        <f ca="1">结果表!D42</f>
        <v>8866</v>
      </c>
      <c r="R5" s="1805">
        <f ca="1">结果表!C42</f>
        <v>146461</v>
      </c>
    </row>
    <row r="6" spans="1:18">
      <c r="A6" s="3308" t="str">
        <f>IF(项目基本情况!B9="市场价格","——","抵押价格")</f>
        <v>抵押价格</v>
      </c>
      <c r="B6" s="3309"/>
      <c r="C6" s="3309"/>
      <c r="D6" s="3309"/>
      <c r="E6" s="3309"/>
      <c r="F6" s="3309"/>
      <c r="G6" s="3309"/>
      <c r="H6" s="3309"/>
      <c r="I6" s="3309"/>
      <c r="J6" s="3309"/>
      <c r="K6" s="3309"/>
      <c r="L6" s="3309"/>
      <c r="M6" s="3309"/>
      <c r="N6" s="3309"/>
      <c r="O6" s="3309"/>
      <c r="P6" s="3309"/>
      <c r="Q6" s="3310"/>
      <c r="R6" s="1806">
        <f ca="1">结果表!O39</f>
        <v>146461</v>
      </c>
    </row>
    <row r="7" spans="1:18">
      <c r="A7" s="3308" t="str">
        <f>IF(项目基本情况!B9="市场价格","——",IF(项目基本情况!E8="已注销及未注销","抵押担保权已注销时的抵押价格","——"))</f>
        <v>——</v>
      </c>
      <c r="B7" s="3309"/>
      <c r="C7" s="3309"/>
      <c r="D7" s="3309"/>
      <c r="E7" s="3309"/>
      <c r="F7" s="3309"/>
      <c r="G7" s="3309"/>
      <c r="H7" s="3309"/>
      <c r="I7" s="3309"/>
      <c r="J7" s="3309"/>
      <c r="K7" s="3309"/>
      <c r="L7" s="3309"/>
      <c r="M7" s="3309"/>
      <c r="N7" s="3309"/>
      <c r="O7" s="3309"/>
      <c r="P7" s="3309"/>
      <c r="Q7" s="3310"/>
      <c r="R7" s="1806" t="str">
        <f>结果表!O40</f>
        <v>——</v>
      </c>
    </row>
    <row r="8" spans="1:18">
      <c r="A8" s="3308" t="str">
        <f>IF(项目基本情况!B9="市场价格","——",项目基本情况!E9)</f>
        <v>——</v>
      </c>
      <c r="B8" s="3309"/>
      <c r="C8" s="3309"/>
      <c r="D8" s="3309"/>
      <c r="E8" s="3309"/>
      <c r="F8" s="3309"/>
      <c r="G8" s="3309"/>
      <c r="H8" s="3309"/>
      <c r="I8" s="3309"/>
      <c r="J8" s="3309"/>
      <c r="K8" s="3309"/>
      <c r="L8" s="3309"/>
      <c r="M8" s="3309"/>
      <c r="N8" s="3309"/>
      <c r="O8" s="3309"/>
      <c r="P8" s="3309"/>
      <c r="Q8" s="3310"/>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316" t="s">
        <v>2065</v>
      </c>
      <c r="B1" s="3316"/>
      <c r="C1" s="3316"/>
      <c r="D1" s="3316"/>
    </row>
    <row r="2" spans="1:4" ht="47.25" customHeight="1">
      <c r="A2" s="3320" t="str">
        <f>"1.权利限制："&amp;项目基本情况!L24&amp;"未设定租赁等其他他项权利。"</f>
        <v>1.权利限制：根据估价对象《不动产权证书》复印件、《国有土地使用权》——，截至估价期日，估价对象抵押权未见登记。未设定租赁等其他他项权利。</v>
      </c>
      <c r="B2" s="3320"/>
      <c r="C2" s="3320"/>
      <c r="D2" s="3320"/>
    </row>
    <row r="3" spans="1:4" ht="48" customHeight="1">
      <c r="A3" s="33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316"/>
      <c r="C3" s="3316"/>
      <c r="D3" s="3316"/>
    </row>
    <row r="4" spans="1:4" ht="36.75" customHeight="1">
      <c r="A4" s="3316" t="str">
        <f>"3.估价规划限制条件：详见"&amp;项目基本情况!E21&amp;"。"</f>
        <v>3.估价规划限制条件：详见《天津市国有建设用地使用权出让合同》[电子监管号：1201012016B02066号]及附件、《建设工程规划许可证》[2017北辰住证0010、0014号]、《预测绘报告》及《御园已售明细》。</v>
      </c>
      <c r="B4" s="3316"/>
      <c r="C4" s="3316"/>
      <c r="D4" s="3316"/>
    </row>
    <row r="5" spans="1:4">
      <c r="A5" s="3319" t="s">
        <v>2066</v>
      </c>
      <c r="B5" s="3319"/>
      <c r="C5" s="3319"/>
      <c r="D5" s="3319"/>
    </row>
    <row r="6" spans="1:4">
      <c r="A6" s="3316" t="s">
        <v>2044</v>
      </c>
      <c r="B6" s="3316"/>
      <c r="C6" s="3316"/>
      <c r="D6" s="3316"/>
    </row>
    <row r="7" spans="1:4" ht="33" customHeight="1">
      <c r="A7" s="3316" t="s">
        <v>2576</v>
      </c>
      <c r="B7" s="3316"/>
      <c r="C7" s="3316"/>
      <c r="D7" s="3316"/>
    </row>
    <row r="8" spans="1:4" ht="32.25" customHeight="1">
      <c r="A8" s="33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6"/>
      <c r="C8" s="3316"/>
      <c r="D8" s="3316"/>
    </row>
    <row r="9" spans="1:4" ht="33.75" customHeight="1">
      <c r="A9" s="33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6"/>
      <c r="C9" s="3316"/>
      <c r="D9" s="3316"/>
    </row>
    <row r="10" spans="1:4">
      <c r="A10" s="3316" t="str">
        <f>IF(项目基本情况!B8="抵押","4.估价师所知悉的法定优先受偿款情况为：","——")</f>
        <v>4.估价师所知悉的法定优先受偿款情况为：</v>
      </c>
      <c r="B10" s="3316"/>
      <c r="C10" s="3316"/>
      <c r="D10" s="3316"/>
    </row>
    <row r="11" spans="1:4" ht="37.5" customHeight="1">
      <c r="A11" s="3318" t="str">
        <f>IF(项目基本情况!B8="抵押","（1）"&amp;CONCATENATE(项目基本情况!L24,项目基本情况!L25,项目基本情况!L26),"——")</f>
        <v>（1）根据估价对象《不动产权证书》复印件、《国有土地使用权》——，截至估价期日，估价对象抵押权未见登记。</v>
      </c>
      <c r="B11" s="3318"/>
      <c r="C11" s="3318"/>
      <c r="D11" s="3318"/>
    </row>
    <row r="12" spans="1:4" ht="168" customHeight="1">
      <c r="A12" s="3319" t="s">
        <v>2068</v>
      </c>
      <c r="B12" s="3319"/>
      <c r="C12" s="3319"/>
      <c r="D12" s="3319"/>
    </row>
    <row r="13" spans="1:4">
      <c r="A13" s="3317" t="s">
        <v>2747</v>
      </c>
      <c r="B13" s="3317"/>
      <c r="C13" s="3317"/>
      <c r="D13" s="3317"/>
    </row>
    <row r="14" spans="1:4">
      <c r="A14" s="3318" t="str">
        <f>IF(项目基本情况!B8="抵押","综上，"&amp;结果表!K47,"——")</f>
        <v>综上，本次评估不存在估价师知悉的法定优先受偿款</v>
      </c>
      <c r="B14" s="3318"/>
      <c r="C14" s="3318"/>
      <c r="D14" s="3318"/>
    </row>
    <row r="15" spans="1:4" ht="58.5" customHeight="1">
      <c r="A15" s="33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6"/>
      <c r="C15" s="3316"/>
      <c r="D15" s="3316"/>
    </row>
    <row r="16" spans="1:4" ht="70.5" customHeight="1">
      <c r="A16" s="33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6"/>
      <c r="C16" s="3316"/>
      <c r="D16" s="3316"/>
    </row>
    <row r="17" spans="1:4">
      <c r="A17" s="3316" t="s">
        <v>2703</v>
      </c>
      <c r="B17" s="3316"/>
      <c r="C17" s="3316"/>
      <c r="D17" s="3316"/>
    </row>
    <row r="18" spans="1:4">
      <c r="A18" s="3316" t="s">
        <v>2695</v>
      </c>
      <c r="B18" s="3316"/>
      <c r="C18" s="3316"/>
      <c r="D18" s="3316"/>
    </row>
    <row r="19" spans="1:4">
      <c r="A19" s="2884" t="s">
        <v>2696</v>
      </c>
      <c r="B19" s="2884" t="s">
        <v>2697</v>
      </c>
      <c r="C19" s="2884" t="s">
        <v>2698</v>
      </c>
      <c r="D19" s="2884" t="s">
        <v>2699</v>
      </c>
    </row>
    <row r="20" spans="1:4">
      <c r="A20" s="2884" t="str">
        <f>项目基本情况!B4</f>
        <v>吴薇</v>
      </c>
      <c r="B20" s="2884">
        <f ca="1">项目基本情况!C4</f>
        <v>2002110125</v>
      </c>
      <c r="C20" s="2886"/>
      <c r="D20" s="1794" t="s">
        <v>2704</v>
      </c>
    </row>
    <row r="21" spans="1:4">
      <c r="A21" s="2884" t="str">
        <f>项目基本情况!D4</f>
        <v>刘梅</v>
      </c>
      <c r="B21" s="2884">
        <f ca="1">项目基本情况!E4</f>
        <v>2008110059</v>
      </c>
      <c r="C21" s="2886"/>
      <c r="D21" s="1794" t="s">
        <v>2705</v>
      </c>
    </row>
    <row r="23" spans="1:4">
      <c r="A23" s="3316" t="s">
        <v>2700</v>
      </c>
      <c r="B23" s="3316"/>
      <c r="C23" s="3316"/>
      <c r="D23" s="3316"/>
    </row>
    <row r="24" spans="1:4">
      <c r="A24" s="2884" t="s">
        <v>2696</v>
      </c>
      <c r="B24" s="2884" t="s">
        <v>2701</v>
      </c>
      <c r="C24" s="2884" t="s">
        <v>2698</v>
      </c>
      <c r="D24" s="2884" t="s">
        <v>2699</v>
      </c>
    </row>
    <row r="25" spans="1:4">
      <c r="A25" s="2887" t="s">
        <v>2702</v>
      </c>
      <c r="B25" s="2884" t="s">
        <v>951</v>
      </c>
      <c r="C25" s="2886"/>
      <c r="D25" s="1794" t="s">
        <v>2705</v>
      </c>
    </row>
    <row r="29" spans="1:4">
      <c r="D29" s="2885" t="s">
        <v>2039</v>
      </c>
    </row>
    <row r="30" spans="1:4">
      <c r="D30" s="28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328" t="s">
        <v>53</v>
      </c>
      <c r="B15" s="3329" t="s">
        <v>845</v>
      </c>
      <c r="C15" s="3325"/>
    </row>
    <row r="16" spans="1:7" ht="14.25">
      <c r="A16" s="3328"/>
      <c r="B16" s="3326" t="s">
        <v>54</v>
      </c>
      <c r="C16" s="1167" t="s">
        <v>53</v>
      </c>
    </row>
    <row r="17" spans="1:3" ht="14.25">
      <c r="A17" s="3328"/>
      <c r="B17" s="3326"/>
      <c r="C17" s="1167" t="s">
        <v>55</v>
      </c>
    </row>
    <row r="18" spans="1:3" ht="14.25">
      <c r="A18" s="3328"/>
      <c r="B18" s="3326"/>
      <c r="C18" s="1167" t="s">
        <v>56</v>
      </c>
    </row>
    <row r="19" spans="1:3" ht="14.25">
      <c r="A19" s="3328"/>
      <c r="B19" s="3324" t="s">
        <v>57</v>
      </c>
      <c r="C19" s="3325"/>
    </row>
    <row r="20" spans="1:3" ht="14.25">
      <c r="A20" s="1168" t="s">
        <v>58</v>
      </c>
      <c r="B20" s="1169"/>
      <c r="C20" s="1170"/>
    </row>
    <row r="21" spans="1:3" ht="14.25">
      <c r="A21" s="3327" t="s">
        <v>59</v>
      </c>
      <c r="B21" s="3324" t="s">
        <v>60</v>
      </c>
      <c r="C21" s="3325"/>
    </row>
    <row r="22" spans="1:3" ht="14.25">
      <c r="A22" s="3327"/>
      <c r="B22" s="3324" t="s">
        <v>61</v>
      </c>
      <c r="C22" s="3325"/>
    </row>
    <row r="23" spans="1:3" ht="14.25">
      <c r="A23" s="3327"/>
      <c r="B23" s="3324" t="s">
        <v>62</v>
      </c>
      <c r="C23" s="3325"/>
    </row>
    <row r="24" spans="1:3" ht="14.25">
      <c r="A24" s="3327"/>
      <c r="B24" s="3330" t="s">
        <v>63</v>
      </c>
      <c r="C24" s="1171" t="s">
        <v>836</v>
      </c>
    </row>
    <row r="25" spans="1:3" ht="14.25">
      <c r="A25" s="3327"/>
      <c r="B25" s="3331"/>
      <c r="C25" s="1171" t="s">
        <v>837</v>
      </c>
    </row>
    <row r="26" spans="1:3" ht="14.25">
      <c r="A26" s="3327"/>
      <c r="B26" s="3331"/>
      <c r="C26" s="1171" t="s">
        <v>838</v>
      </c>
    </row>
    <row r="27" spans="1:3" ht="14.25">
      <c r="A27" s="3327"/>
      <c r="B27" s="3331"/>
      <c r="C27" s="1171" t="s">
        <v>839</v>
      </c>
    </row>
    <row r="28" spans="1:3" ht="14.25">
      <c r="A28" s="3327"/>
      <c r="B28" s="3331"/>
      <c r="C28" s="1171" t="s">
        <v>840</v>
      </c>
    </row>
    <row r="29" spans="1:3" ht="14.25">
      <c r="A29" s="3327"/>
      <c r="B29" s="3331"/>
      <c r="C29" s="1171" t="s">
        <v>841</v>
      </c>
    </row>
    <row r="30" spans="1:3" ht="14.25">
      <c r="A30" s="3327"/>
      <c r="B30" s="3331"/>
      <c r="C30" s="1171" t="s">
        <v>842</v>
      </c>
    </row>
    <row r="31" spans="1:3" ht="14.25">
      <c r="A31" s="3327"/>
      <c r="B31" s="3331"/>
      <c r="C31" s="1171" t="s">
        <v>843</v>
      </c>
    </row>
    <row r="32" spans="1:3" ht="14.25">
      <c r="A32" s="3327"/>
      <c r="B32" s="3331"/>
      <c r="C32" s="1171" t="s">
        <v>1646</v>
      </c>
    </row>
    <row r="33" spans="1:3" ht="14.25">
      <c r="A33" s="3327"/>
      <c r="B33" s="3321" t="s">
        <v>1652</v>
      </c>
      <c r="C33" s="1171" t="s">
        <v>1647</v>
      </c>
    </row>
    <row r="34" spans="1:3" ht="14.25">
      <c r="A34" s="3327"/>
      <c r="B34" s="3322"/>
      <c r="C34" s="1176" t="s">
        <v>1648</v>
      </c>
    </row>
    <row r="35" spans="1:3" ht="14.25">
      <c r="A35" s="3327"/>
      <c r="B35" s="3322"/>
      <c r="C35" s="1177" t="s">
        <v>1649</v>
      </c>
    </row>
    <row r="36" spans="1:3" ht="14.25">
      <c r="A36" s="3327"/>
      <c r="B36" s="3322"/>
      <c r="C36" s="1177" t="s">
        <v>1650</v>
      </c>
    </row>
    <row r="37" spans="1:3" ht="14.25">
      <c r="A37" s="3327"/>
      <c r="B37" s="3323"/>
      <c r="C37" s="1178" t="s">
        <v>1651</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1907</v>
      </c>
      <c r="B2" s="1651">
        <f ca="1">TODAY()</f>
        <v>43328</v>
      </c>
      <c r="C2" s="2331" t="s">
        <v>1908</v>
      </c>
      <c r="D2" s="2332"/>
    </row>
    <row r="3" spans="1:6" ht="20.25" customHeight="1">
      <c r="A3" s="2334" t="s">
        <v>1909</v>
      </c>
      <c r="B3" s="2335" t="s">
        <v>1910</v>
      </c>
      <c r="C3" s="2335" t="s">
        <v>1911</v>
      </c>
      <c r="D3" s="2336" t="s">
        <v>1912</v>
      </c>
      <c r="E3" s="2335" t="s">
        <v>1913</v>
      </c>
      <c r="F3" s="2335" t="s">
        <v>1911</v>
      </c>
    </row>
    <row r="4" spans="1:6" ht="20.25" customHeight="1">
      <c r="A4" s="2335" t="s">
        <v>1914</v>
      </c>
      <c r="B4" s="2335">
        <f ca="1">IF(C4&lt;B2,"已过期",1119970066)</f>
        <v>1119970066</v>
      </c>
      <c r="C4" s="3022">
        <v>43849</v>
      </c>
      <c r="D4" s="2335" t="s">
        <v>1914</v>
      </c>
      <c r="E4" s="2335">
        <f ca="1">IF(F4&lt;B2,"已过期",96010014)</f>
        <v>96010014</v>
      </c>
      <c r="F4" s="3023">
        <v>47118</v>
      </c>
    </row>
    <row r="5" spans="1:6" ht="20.25" customHeight="1">
      <c r="A5" s="2335" t="s">
        <v>1915</v>
      </c>
      <c r="B5" s="2335">
        <f ca="1">IF(C5&lt;B2,"已过期",1119970074)</f>
        <v>1119970074</v>
      </c>
      <c r="C5" s="3022">
        <v>43849</v>
      </c>
      <c r="D5" s="2335" t="s">
        <v>1915</v>
      </c>
      <c r="E5" s="2335">
        <f ca="1">IF(F5&lt;B2,"已过期",2002110027)</f>
        <v>2002110027</v>
      </c>
      <c r="F5" s="3023">
        <v>46752</v>
      </c>
    </row>
    <row r="6" spans="1:6" ht="20.25" customHeight="1">
      <c r="A6" s="2335" t="s">
        <v>1916</v>
      </c>
      <c r="B6" s="2335">
        <f ca="1">IF(C6&lt;B2,"已过期",1119970111)</f>
        <v>1119970111</v>
      </c>
      <c r="C6" s="3022">
        <v>43849</v>
      </c>
      <c r="D6" s="2335" t="s">
        <v>1916</v>
      </c>
      <c r="E6" s="2335">
        <f ca="1">IF(F6&lt;B2,"已过期",94010078)</f>
        <v>94010078</v>
      </c>
      <c r="F6" s="3023">
        <v>46387</v>
      </c>
    </row>
    <row r="7" spans="1:6" ht="20.25" customHeight="1">
      <c r="A7" s="2335" t="s">
        <v>1917</v>
      </c>
      <c r="B7" s="2335">
        <f ca="1">IF(C7&lt;B2,"已过期",1120050019)</f>
        <v>1120050019</v>
      </c>
      <c r="C7" s="3022">
        <v>43359</v>
      </c>
      <c r="D7" s="2335" t="s">
        <v>1917</v>
      </c>
      <c r="E7" s="2335">
        <f ca="1">IF(F7&lt;B2,"已过期",2002110030)</f>
        <v>2002110030</v>
      </c>
      <c r="F7" s="3023">
        <v>46387</v>
      </c>
    </row>
    <row r="8" spans="1:6" ht="20.25" customHeight="1">
      <c r="A8" s="2335" t="s">
        <v>1918</v>
      </c>
      <c r="B8" s="2335">
        <f ca="1">IF(C8&lt;B2,"已过期",1120000080)</f>
        <v>1120000080</v>
      </c>
      <c r="C8" s="3022">
        <v>43849</v>
      </c>
      <c r="D8" s="2335" t="s">
        <v>1918</v>
      </c>
      <c r="E8" s="2335">
        <f ca="1">IF(F8&lt;B2,"已过期",2000110082)</f>
        <v>2000110082</v>
      </c>
      <c r="F8" s="3023">
        <v>46387</v>
      </c>
    </row>
    <row r="9" spans="1:6" ht="20.25" customHeight="1">
      <c r="A9" s="2335" t="s">
        <v>1919</v>
      </c>
      <c r="B9" s="2335">
        <f ca="1">IF(C9&lt;B2,"已过期",1419970001)</f>
        <v>1419970001</v>
      </c>
      <c r="C9" s="3022">
        <v>43867</v>
      </c>
      <c r="D9" s="2335" t="s">
        <v>1919</v>
      </c>
      <c r="E9" s="2335">
        <f ca="1">IF(F9&lt;B2,"已过期",2002110125)</f>
        <v>2002110125</v>
      </c>
      <c r="F9" s="3023">
        <v>47118</v>
      </c>
    </row>
    <row r="10" spans="1:6" ht="20.25" customHeight="1">
      <c r="A10" s="2335" t="s">
        <v>1920</v>
      </c>
      <c r="B10" s="2335">
        <f ca="1">IF(C10&lt;B2,"已过期",1120060040)</f>
        <v>1120060040</v>
      </c>
      <c r="C10" s="3022">
        <v>43483</v>
      </c>
      <c r="D10" s="2335" t="s">
        <v>1920</v>
      </c>
      <c r="E10" s="2335">
        <f ca="1">IF(F10&lt;B2,"已过期",2004110096)</f>
        <v>2004110096</v>
      </c>
      <c r="F10" s="3023">
        <v>47118</v>
      </c>
    </row>
    <row r="11" spans="1:6" ht="20.25" customHeight="1">
      <c r="A11" s="2335" t="s">
        <v>1921</v>
      </c>
      <c r="B11" s="2335">
        <f ca="1">IF(C11&lt;B2,"已过期",1120100036)</f>
        <v>1120100036</v>
      </c>
      <c r="C11" s="3022">
        <v>43622</v>
      </c>
      <c r="D11" s="2335" t="s">
        <v>1921</v>
      </c>
      <c r="E11" s="2335">
        <f ca="1">IF(F11&lt;B2,"已过期",2010110070)</f>
        <v>2010110070</v>
      </c>
      <c r="F11" s="3023">
        <v>47907</v>
      </c>
    </row>
    <row r="12" spans="1:6" ht="20.25" customHeight="1">
      <c r="A12" s="2335" t="s">
        <v>2975</v>
      </c>
      <c r="B12" s="2335">
        <v>1120110054</v>
      </c>
      <c r="C12" s="3022">
        <v>43937</v>
      </c>
      <c r="D12" s="2335" t="s">
        <v>2975</v>
      </c>
      <c r="E12" s="2335">
        <v>2008110060</v>
      </c>
      <c r="F12" s="3023">
        <v>47177</v>
      </c>
    </row>
    <row r="13" spans="1:6" ht="20.25" customHeight="1">
      <c r="A13" s="2335" t="s">
        <v>1922</v>
      </c>
      <c r="B13" s="2335">
        <f ca="1">IF(C13&lt;B2,"已过期",1120070131)</f>
        <v>1120070131</v>
      </c>
      <c r="C13" s="3022">
        <v>43814</v>
      </c>
      <c r="D13" s="2335" t="s">
        <v>1922</v>
      </c>
      <c r="E13" s="2335">
        <v>2014110011</v>
      </c>
      <c r="F13" s="3023">
        <v>49302</v>
      </c>
    </row>
    <row r="14" spans="1:6" ht="20.25" customHeight="1">
      <c r="A14" s="2335" t="s">
        <v>1923</v>
      </c>
      <c r="B14" s="2335">
        <f ca="1">IF(C14&lt;B2,"已过期",1120130020)</f>
        <v>1120130020</v>
      </c>
      <c r="C14" s="3022">
        <v>43622</v>
      </c>
      <c r="D14" s="2335"/>
      <c r="E14" s="2335"/>
      <c r="F14" s="2335"/>
    </row>
    <row r="15" spans="1:6" ht="20.25" customHeight="1">
      <c r="A15" s="2335" t="s">
        <v>2575</v>
      </c>
      <c r="B15" s="2335">
        <v>1120070085</v>
      </c>
      <c r="C15" s="3022">
        <v>43814</v>
      </c>
      <c r="D15" s="2335" t="s">
        <v>2575</v>
      </c>
      <c r="E15" s="2335">
        <v>2004110128</v>
      </c>
      <c r="F15" s="3023">
        <v>47118</v>
      </c>
    </row>
    <row r="16" spans="1:6" ht="20.25" customHeight="1">
      <c r="A16" s="2335" t="s">
        <v>1924</v>
      </c>
      <c r="B16" s="2335">
        <f ca="1">IF(C16&lt;B2,"已过期",1120140022)</f>
        <v>1120140022</v>
      </c>
      <c r="C16" s="3022">
        <v>44029</v>
      </c>
      <c r="D16" s="2335" t="s">
        <v>1924</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1925</v>
      </c>
      <c r="E21" s="2335">
        <f ca="1">IF(F21&lt;B2,"已过期",2011110090)</f>
        <v>2011110090</v>
      </c>
      <c r="F21" s="3023">
        <v>48302</v>
      </c>
    </row>
    <row r="22" spans="1:7" ht="20.25" customHeight="1">
      <c r="A22" s="2335" t="s">
        <v>1926</v>
      </c>
      <c r="B22" s="2335" t="str">
        <f ca="1">IF(C22&lt;B2,"已过期",1120020033)</f>
        <v>已过期</v>
      </c>
      <c r="C22" s="3022">
        <v>43304</v>
      </c>
      <c r="D22" s="2335" t="s">
        <v>1926</v>
      </c>
      <c r="E22" s="2335">
        <f ca="1">IF(F22&lt;B2,"已过期",2000110137)</f>
        <v>2000110137</v>
      </c>
      <c r="F22" s="3023">
        <v>46387</v>
      </c>
    </row>
    <row r="23" spans="1:7" ht="20.25" customHeight="1">
      <c r="A23" s="2335" t="s">
        <v>1927</v>
      </c>
      <c r="B23" s="2335">
        <f ca="1">IF(C23&lt;B2,"已过期",1120130048)</f>
        <v>1120130048</v>
      </c>
      <c r="C23" s="3022">
        <v>43686</v>
      </c>
      <c r="D23" s="2335"/>
      <c r="E23" s="2335"/>
      <c r="F23" s="2335"/>
    </row>
    <row r="24" spans="1:7" s="2339" customFormat="1" ht="20.25" customHeight="1">
      <c r="A24" s="2337" t="s">
        <v>2053</v>
      </c>
      <c r="B24" s="2337" t="s">
        <v>2053</v>
      </c>
      <c r="C24" s="3022"/>
      <c r="D24" s="3024" t="s">
        <v>2053</v>
      </c>
      <c r="E24" s="2337" t="s">
        <v>2053</v>
      </c>
      <c r="F24" s="2338"/>
    </row>
    <row r="25" spans="1:7" ht="20.25" customHeight="1">
      <c r="A25" s="3332" t="s">
        <v>1928</v>
      </c>
      <c r="B25" s="3332"/>
      <c r="C25" s="3332"/>
      <c r="D25" s="3332"/>
      <c r="E25" s="3332"/>
      <c r="F25" s="3332"/>
      <c r="G25" s="3332"/>
    </row>
    <row r="26" spans="1:7" ht="20.25" customHeight="1">
      <c r="A26" s="3333" t="s">
        <v>1929</v>
      </c>
      <c r="B26" s="3333"/>
      <c r="C26" s="3333"/>
      <c r="D26" s="3333" t="s">
        <v>1930</v>
      </c>
      <c r="E26" s="3333"/>
      <c r="F26" s="3333"/>
    </row>
    <row r="27" spans="1:7" s="2343" customFormat="1" ht="20.25" customHeight="1">
      <c r="A27" s="2340" t="s">
        <v>1931</v>
      </c>
      <c r="B27" s="2341" t="s">
        <v>1932</v>
      </c>
      <c r="C27" s="2341" t="s">
        <v>1933</v>
      </c>
      <c r="D27" s="2342" t="s">
        <v>1931</v>
      </c>
      <c r="E27" s="2341" t="s">
        <v>1932</v>
      </c>
      <c r="F27" s="2341" t="s">
        <v>1933</v>
      </c>
    </row>
    <row r="28" spans="1:7" s="2343" customFormat="1" ht="20.25" customHeight="1">
      <c r="A28" s="2344" t="s">
        <v>1934</v>
      </c>
      <c r="B28" s="2344" t="s">
        <v>1935</v>
      </c>
      <c r="C28" s="2345">
        <v>43725</v>
      </c>
      <c r="D28" s="2344" t="s">
        <v>1936</v>
      </c>
      <c r="E28" s="2344" t="s">
        <v>1937</v>
      </c>
      <c r="F28" s="2346">
        <v>44377</v>
      </c>
    </row>
    <row r="29" spans="1:7" s="2343" customFormat="1" ht="20.25" customHeight="1">
      <c r="A29" s="2344"/>
      <c r="B29" s="2344"/>
      <c r="C29" s="2347"/>
      <c r="D29" s="2344" t="s">
        <v>1938</v>
      </c>
      <c r="E29" s="2348" t="s">
        <v>2940</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3" t="s">
        <v>855</v>
      </c>
      <c r="B1" s="5" t="s">
        <v>132</v>
      </c>
      <c r="C1" s="154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2546</v>
      </c>
      <c r="R1" s="2598" t="s">
        <v>2540</v>
      </c>
      <c r="S1" s="6" t="s">
        <v>146</v>
      </c>
      <c r="T1" s="7" t="s">
        <v>147</v>
      </c>
      <c r="U1" s="6" t="s">
        <v>148</v>
      </c>
      <c r="V1" s="6" t="s">
        <v>149</v>
      </c>
      <c r="W1" s="999" t="s">
        <v>873</v>
      </c>
    </row>
    <row r="2" spans="1:23">
      <c r="A2" s="8" t="s">
        <v>73</v>
      </c>
      <c r="B2" s="8" t="s">
        <v>150</v>
      </c>
      <c r="C2" s="1545" t="s">
        <v>1709</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2541</v>
      </c>
      <c r="S2" s="9" t="s">
        <v>75</v>
      </c>
      <c r="T2" s="9" t="s">
        <v>76</v>
      </c>
      <c r="U2" s="9" t="s">
        <v>75</v>
      </c>
      <c r="V2" s="9" t="s">
        <v>77</v>
      </c>
      <c r="W2" s="9" t="s">
        <v>874</v>
      </c>
    </row>
    <row r="3" spans="1:23">
      <c r="A3" s="8" t="s">
        <v>78</v>
      </c>
      <c r="B3" s="10" t="s">
        <v>151</v>
      </c>
      <c r="C3" s="1546" t="s">
        <v>1710</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2542</v>
      </c>
      <c r="S3" s="9" t="s">
        <v>84</v>
      </c>
      <c r="T3" s="9" t="s">
        <v>85</v>
      </c>
      <c r="U3" s="9" t="s">
        <v>84</v>
      </c>
      <c r="V3" s="9" t="s">
        <v>86</v>
      </c>
      <c r="W3" s="9" t="s">
        <v>875</v>
      </c>
    </row>
    <row r="4" spans="1:23">
      <c r="A4" s="8" t="s">
        <v>87</v>
      </c>
      <c r="B4" s="8" t="s">
        <v>152</v>
      </c>
      <c r="C4" s="1545" t="s">
        <v>1711</v>
      </c>
      <c r="D4" s="9" t="s">
        <v>1995</v>
      </c>
      <c r="E4" s="9" t="s">
        <v>88</v>
      </c>
      <c r="F4" s="9" t="s">
        <v>89</v>
      </c>
      <c r="G4" s="9">
        <v>70</v>
      </c>
      <c r="H4" s="9" t="s">
        <v>90</v>
      </c>
      <c r="I4" s="9" t="s">
        <v>91</v>
      </c>
      <c r="K4" s="9" t="s">
        <v>92</v>
      </c>
      <c r="L4" s="9" t="s">
        <v>92</v>
      </c>
      <c r="M4" s="9" t="s">
        <v>92</v>
      </c>
      <c r="N4" s="9" t="s">
        <v>92</v>
      </c>
      <c r="O4" s="9" t="s">
        <v>92</v>
      </c>
      <c r="P4" s="1001" t="s">
        <v>760</v>
      </c>
      <c r="Q4" s="9" t="s">
        <v>92</v>
      </c>
      <c r="R4" s="1001" t="s">
        <v>2543</v>
      </c>
      <c r="S4" s="9" t="s">
        <v>92</v>
      </c>
      <c r="T4" s="9" t="s">
        <v>93</v>
      </c>
      <c r="U4" s="9" t="s">
        <v>92</v>
      </c>
      <c r="W4" s="9" t="s">
        <v>876</v>
      </c>
    </row>
    <row r="5" spans="1:23">
      <c r="A5" s="8" t="s">
        <v>94</v>
      </c>
      <c r="B5" s="8" t="s">
        <v>153</v>
      </c>
      <c r="C5" s="1545" t="s">
        <v>1712</v>
      </c>
      <c r="F5" s="9" t="s">
        <v>95</v>
      </c>
      <c r="H5" s="9" t="s">
        <v>70</v>
      </c>
      <c r="I5" s="9" t="s">
        <v>96</v>
      </c>
      <c r="K5" s="9" t="s">
        <v>97</v>
      </c>
      <c r="L5" s="9" t="s">
        <v>97</v>
      </c>
      <c r="M5" s="9" t="s">
        <v>97</v>
      </c>
      <c r="N5" s="9" t="s">
        <v>97</v>
      </c>
      <c r="O5" s="9" t="s">
        <v>97</v>
      </c>
      <c r="P5" s="1001" t="s">
        <v>546</v>
      </c>
      <c r="Q5" s="9" t="s">
        <v>97</v>
      </c>
      <c r="R5" s="1001" t="s">
        <v>2544</v>
      </c>
      <c r="S5" s="9" t="s">
        <v>97</v>
      </c>
      <c r="T5" s="9" t="s">
        <v>98</v>
      </c>
      <c r="U5" s="9" t="s">
        <v>97</v>
      </c>
      <c r="W5" s="9" t="s">
        <v>877</v>
      </c>
    </row>
    <row r="6" spans="1:23">
      <c r="A6" s="8" t="s">
        <v>99</v>
      </c>
      <c r="B6" s="1144" t="s">
        <v>1640</v>
      </c>
      <c r="C6" s="1547" t="s">
        <v>1713</v>
      </c>
      <c r="F6" s="9" t="s">
        <v>71</v>
      </c>
      <c r="H6" s="9" t="s">
        <v>72</v>
      </c>
      <c r="I6" s="9" t="s">
        <v>100</v>
      </c>
      <c r="K6" s="9" t="s">
        <v>101</v>
      </c>
      <c r="L6" s="9" t="s">
        <v>101</v>
      </c>
      <c r="M6" s="9" t="s">
        <v>101</v>
      </c>
      <c r="N6" s="9" t="s">
        <v>101</v>
      </c>
      <c r="O6" s="9" t="s">
        <v>101</v>
      </c>
      <c r="P6" s="1001" t="s">
        <v>880</v>
      </c>
      <c r="Q6" s="9" t="s">
        <v>101</v>
      </c>
      <c r="R6" s="1001" t="s">
        <v>2545</v>
      </c>
      <c r="S6" s="9" t="s">
        <v>101</v>
      </c>
      <c r="T6" s="9"/>
      <c r="U6" s="9" t="s">
        <v>101</v>
      </c>
      <c r="W6" s="9" t="s">
        <v>878</v>
      </c>
    </row>
    <row r="7" spans="1:23">
      <c r="A7" s="8" t="s">
        <v>102</v>
      </c>
      <c r="B7" s="8" t="s">
        <v>103</v>
      </c>
      <c r="C7" s="1545" t="s">
        <v>1714</v>
      </c>
      <c r="F7" s="9" t="s">
        <v>154</v>
      </c>
      <c r="H7" s="9" t="s">
        <v>104</v>
      </c>
      <c r="I7" s="9" t="s">
        <v>105</v>
      </c>
    </row>
    <row r="8" spans="1:23">
      <c r="A8" s="8" t="s">
        <v>106</v>
      </c>
      <c r="B8" s="8" t="s">
        <v>107</v>
      </c>
      <c r="C8" s="1545" t="s">
        <v>1715</v>
      </c>
      <c r="F8" s="9" t="s">
        <v>155</v>
      </c>
      <c r="H8" s="9"/>
      <c r="I8" s="9" t="s">
        <v>108</v>
      </c>
    </row>
    <row r="9" spans="1:23">
      <c r="A9" s="8" t="s">
        <v>109</v>
      </c>
      <c r="B9" s="8" t="s">
        <v>156</v>
      </c>
      <c r="C9" s="1545" t="s">
        <v>1716</v>
      </c>
      <c r="F9" s="9" t="s">
        <v>110</v>
      </c>
      <c r="H9" s="9"/>
    </row>
    <row r="10" spans="1:23">
      <c r="A10" s="8" t="s">
        <v>111</v>
      </c>
      <c r="B10" s="8" t="s">
        <v>157</v>
      </c>
      <c r="C10" s="1545" t="s">
        <v>1717</v>
      </c>
      <c r="F10" s="9" t="s">
        <v>6</v>
      </c>
    </row>
    <row r="11" spans="1:23">
      <c r="A11" s="8" t="s">
        <v>112</v>
      </c>
      <c r="B11" s="8" t="s">
        <v>158</v>
      </c>
      <c r="C11" s="1545" t="s">
        <v>1718</v>
      </c>
    </row>
    <row r="12" spans="1:23">
      <c r="A12" s="8" t="s">
        <v>113</v>
      </c>
      <c r="B12" s="8" t="s">
        <v>159</v>
      </c>
      <c r="C12" s="1545" t="s">
        <v>1719</v>
      </c>
    </row>
    <row r="13" spans="1:23">
      <c r="A13" s="8" t="s">
        <v>114</v>
      </c>
      <c r="B13" s="8" t="s">
        <v>160</v>
      </c>
      <c r="C13" s="1545" t="s">
        <v>1720</v>
      </c>
    </row>
    <row r="14" spans="1:23">
      <c r="A14" s="8" t="s">
        <v>115</v>
      </c>
      <c r="B14" s="8" t="s">
        <v>161</v>
      </c>
      <c r="C14" s="1548" t="s">
        <v>1896</v>
      </c>
    </row>
    <row r="15" spans="1:23">
      <c r="A15" s="8" t="s">
        <v>116</v>
      </c>
      <c r="B15" s="8" t="s">
        <v>1681</v>
      </c>
      <c r="C15" s="1548"/>
    </row>
    <row r="16" spans="1:23">
      <c r="A16" s="8" t="s">
        <v>117</v>
      </c>
      <c r="B16" s="8" t="s">
        <v>1682</v>
      </c>
      <c r="C16" s="1548"/>
    </row>
    <row r="17" spans="1:3">
      <c r="A17" s="8" t="s">
        <v>118</v>
      </c>
      <c r="B17" s="8" t="s">
        <v>1683</v>
      </c>
      <c r="C17" s="1548"/>
    </row>
    <row r="18" spans="1:3">
      <c r="A18" s="8" t="s">
        <v>119</v>
      </c>
      <c r="B18" s="3128" t="s">
        <v>2952</v>
      </c>
      <c r="C18" s="1548"/>
    </row>
    <row r="19" spans="1:3">
      <c r="A19" s="8" t="s">
        <v>120</v>
      </c>
      <c r="B19" s="3128" t="s">
        <v>2960</v>
      </c>
      <c r="C19" s="1548"/>
    </row>
    <row r="20" spans="1:3">
      <c r="A20" s="8" t="s">
        <v>121</v>
      </c>
      <c r="B20" s="8" t="s">
        <v>1641</v>
      </c>
      <c r="C20" s="1548"/>
    </row>
    <row r="21" spans="1:3">
      <c r="A21" s="8" t="s">
        <v>122</v>
      </c>
      <c r="B21" s="8" t="s">
        <v>1641</v>
      </c>
      <c r="C21" s="1548"/>
    </row>
    <row r="22" spans="1:3">
      <c r="A22" s="8" t="s">
        <v>123</v>
      </c>
      <c r="B22" s="8" t="s">
        <v>1641</v>
      </c>
      <c r="C22" s="1548"/>
    </row>
    <row r="23" spans="1:3">
      <c r="A23" s="8" t="s">
        <v>124</v>
      </c>
      <c r="B23" s="8" t="s">
        <v>1641</v>
      </c>
      <c r="C23" s="1548"/>
    </row>
    <row r="24" spans="1:3">
      <c r="A24" s="8" t="s">
        <v>12</v>
      </c>
      <c r="B24" s="8" t="s">
        <v>1641</v>
      </c>
      <c r="C24" s="1548"/>
    </row>
    <row r="25" spans="1:3">
      <c r="A25" s="8" t="s">
        <v>125</v>
      </c>
      <c r="B25" s="8" t="s">
        <v>1641</v>
      </c>
      <c r="C25" s="1548"/>
    </row>
    <row r="26" spans="1:3">
      <c r="A26" s="8" t="s">
        <v>126</v>
      </c>
      <c r="B26" s="8" t="s">
        <v>1641</v>
      </c>
      <c r="C26" s="1548"/>
    </row>
    <row r="27" spans="1:3">
      <c r="A27" s="8" t="s">
        <v>1641</v>
      </c>
      <c r="B27" s="8" t="s">
        <v>1641</v>
      </c>
      <c r="C27" s="1548"/>
    </row>
    <row r="28" spans="1:3">
      <c r="A28" s="8" t="s">
        <v>1641</v>
      </c>
      <c r="B28" s="8" t="s">
        <v>1641</v>
      </c>
      <c r="C28" s="1548"/>
    </row>
    <row r="29" spans="1:3">
      <c r="A29" s="8" t="s">
        <v>1641</v>
      </c>
      <c r="B29" s="8" t="s">
        <v>1641</v>
      </c>
      <c r="C29" s="1548"/>
    </row>
    <row r="30" spans="1:3">
      <c r="A30" s="8" t="s">
        <v>1641</v>
      </c>
      <c r="B30" s="8" t="s">
        <v>1641</v>
      </c>
      <c r="C30" s="1548"/>
    </row>
    <row r="31" spans="1:3">
      <c r="A31" s="8" t="s">
        <v>1641</v>
      </c>
      <c r="B31" s="8" t="s">
        <v>1641</v>
      </c>
      <c r="C31" s="1548"/>
    </row>
    <row r="32" spans="1:3">
      <c r="A32" s="8" t="s">
        <v>1641</v>
      </c>
      <c r="B32" s="8" t="s">
        <v>1641</v>
      </c>
      <c r="C32" s="1548"/>
    </row>
    <row r="33" spans="1:3">
      <c r="A33" s="8" t="s">
        <v>1641</v>
      </c>
      <c r="B33" s="8" t="s">
        <v>1641</v>
      </c>
      <c r="C33" s="1548"/>
    </row>
    <row r="34" spans="1:3">
      <c r="A34" s="8" t="s">
        <v>1641</v>
      </c>
      <c r="B34" s="8" t="s">
        <v>1641</v>
      </c>
      <c r="C34" s="1548"/>
    </row>
    <row r="35" spans="1:3">
      <c r="A35" s="8" t="s">
        <v>1641</v>
      </c>
      <c r="B35" s="8" t="s">
        <v>1641</v>
      </c>
      <c r="C35" s="1548"/>
    </row>
    <row r="36" spans="1:3">
      <c r="A36" s="8" t="s">
        <v>1641</v>
      </c>
      <c r="B36" s="8" t="s">
        <v>1641</v>
      </c>
      <c r="C36" s="1548"/>
    </row>
    <row r="37" spans="1:3">
      <c r="A37" s="8" t="s">
        <v>1641</v>
      </c>
      <c r="B37" s="8" t="s">
        <v>1641</v>
      </c>
      <c r="C37" s="1548"/>
    </row>
    <row r="38" spans="1:3">
      <c r="A38" s="8" t="s">
        <v>1641</v>
      </c>
      <c r="B38" s="8" t="s">
        <v>1641</v>
      </c>
      <c r="C38" s="1548"/>
    </row>
    <row r="39" spans="1:3">
      <c r="A39" s="8" t="s">
        <v>1641</v>
      </c>
      <c r="B39" s="8" t="s">
        <v>1641</v>
      </c>
      <c r="C39" s="1548"/>
    </row>
    <row r="40" spans="1:3">
      <c r="A40" s="8" t="s">
        <v>1641</v>
      </c>
      <c r="B40" s="8" t="s">
        <v>1641</v>
      </c>
      <c r="C40" s="1548"/>
    </row>
    <row r="41" spans="1:3">
      <c r="A41" s="8" t="s">
        <v>1641</v>
      </c>
      <c r="B41" s="8" t="s">
        <v>1641</v>
      </c>
      <c r="C41" s="1548"/>
    </row>
    <row r="42" spans="1:3">
      <c r="A42" s="8" t="s">
        <v>1641</v>
      </c>
      <c r="B42" s="8" t="s">
        <v>1641</v>
      </c>
      <c r="C42" s="1548"/>
    </row>
    <row r="43" spans="1:3">
      <c r="A43" s="8" t="s">
        <v>1641</v>
      </c>
      <c r="B43" s="8" t="s">
        <v>1641</v>
      </c>
      <c r="C43" s="1548"/>
    </row>
    <row r="44" spans="1:3">
      <c r="A44" s="8" t="s">
        <v>1641</v>
      </c>
      <c r="B44" s="8" t="s">
        <v>1641</v>
      </c>
      <c r="C44" s="1548"/>
    </row>
    <row r="45" spans="1:3">
      <c r="A45" s="8" t="s">
        <v>1641</v>
      </c>
      <c r="B45" s="8" t="s">
        <v>1641</v>
      </c>
      <c r="C45" s="1548"/>
    </row>
    <row r="46" spans="1:3">
      <c r="A46" s="8" t="s">
        <v>1641</v>
      </c>
      <c r="B46" s="8" t="s">
        <v>1641</v>
      </c>
      <c r="C46" s="1548"/>
    </row>
    <row r="47" spans="1:3">
      <c r="A47" s="8" t="s">
        <v>1641</v>
      </c>
      <c r="B47" s="8" t="s">
        <v>1641</v>
      </c>
      <c r="C47" s="1548"/>
    </row>
    <row r="48" spans="1:3">
      <c r="A48" s="8" t="s">
        <v>1641</v>
      </c>
      <c r="B48" s="8" t="s">
        <v>1641</v>
      </c>
      <c r="C48" s="1548"/>
    </row>
    <row r="49" spans="1:5">
      <c r="A49" s="8" t="s">
        <v>1641</v>
      </c>
      <c r="B49" s="8" t="s">
        <v>1641</v>
      </c>
      <c r="C49" s="1548"/>
    </row>
    <row r="50" spans="1:5">
      <c r="A50" s="8" t="s">
        <v>1641</v>
      </c>
      <c r="B50" s="8" t="s">
        <v>1641</v>
      </c>
      <c r="C50" s="1548"/>
    </row>
    <row r="51" spans="1:5">
      <c r="A51" s="1759" t="s">
        <v>1944</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合雨晨置业有限公司拟使用天津市北辰区北辰道与朝阳路交口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334"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日，在规划利用条件下、设定土地开发程度为红线外“七通”、宗地内场地，设定用途为住宅、商业、地下车库，剩余土地使用年限为住宅68.4年、商业38.4年、地下车库48.4年的出让国有建设用地使用权价格。</v>
      </c>
      <c r="D53" s="1761"/>
      <c r="E53" s="1761"/>
    </row>
    <row r="54" spans="1:5">
      <c r="A54" s="3334"/>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334"/>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334"/>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334"/>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剩余法-待开发</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典型户型修正</vt:lpstr>
      <vt:lpstr>不动产收益法</vt:lpstr>
      <vt:lpstr>酒店收入计算</vt:lpstr>
      <vt:lpstr>成本逼近法</vt:lpstr>
      <vt:lpstr>不动产比较法-办公</vt:lpstr>
      <vt:lpstr>不动产比较法-工业</vt:lpstr>
      <vt:lpstr>不动产比较法-车位</vt:lpstr>
      <vt:lpstr>不动产比较法-仓储</vt:lpstr>
      <vt:lpstr>存贷款利率</vt:lpstr>
      <vt:lpstr>已售</vt:lpstr>
      <vt:lpstr>已售汇总</vt:lpstr>
      <vt:lpstr>Sheet3</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2018-08-16T03:22:14Z</dcterms:modified>
</cp:coreProperties>
</file>